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3-marzo 2023\"/>
    </mc:Choice>
  </mc:AlternateContent>
  <xr:revisionPtr revIDLastSave="0" documentId="13_ncr:1_{A7F2173D-0284-4CE4-859B-F8486E223E7E}" xr6:coauthVersionLast="47" xr6:coauthVersionMax="47" xr10:uidLastSave="{00000000-0000-0000-0000-000000000000}"/>
  <bookViews>
    <workbookView xWindow="28680" yWindow="-120" windowWidth="24240" windowHeight="13020" tabRatio="795" xr2:uid="{00000000-000D-0000-FFFF-FFFF00000000}"/>
  </bookViews>
  <sheets>
    <sheet name="PPTO AL 31 MARZ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31 MARZO 2023'!$A$1:$BG$317</definedName>
    <definedName name="_xlnm.Print_Area" localSheetId="2">ResumenxSubP!$A$1:$H$57</definedName>
    <definedName name="_xlnm.Print_Titles" localSheetId="0">'PPTO AL 31 MARZO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2" l="1"/>
  <c r="AZ66" i="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56"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L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127" i="1" l="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D74" i="1"/>
  <c r="BJ74" i="1" s="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BD47" i="1" l="1"/>
  <c r="C20" i="12"/>
  <c r="D11" i="12"/>
  <c r="D20" i="12" s="1"/>
  <c r="C14" i="4"/>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C19" i="12" l="1"/>
  <c r="D10" i="12"/>
  <c r="D19" i="12" s="1"/>
  <c r="BC223" i="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F10" i="3"/>
  <c r="BD13" i="1"/>
  <c r="BJ13" i="1" s="1"/>
  <c r="BC14" i="1"/>
  <c r="BE14" i="1"/>
  <c r="G10" i="3" s="1"/>
  <c r="C9" i="3"/>
  <c r="V11" i="2"/>
  <c r="BG13" i="1"/>
  <c r="AY11" i="1"/>
  <c r="B20" i="12" l="1"/>
  <c r="B19" i="12"/>
  <c r="V20" i="2"/>
  <c r="C57" i="3"/>
  <c r="BG11" i="1"/>
  <c r="BC13" i="1"/>
  <c r="BC11" i="1" s="1"/>
  <c r="Y11" i="2"/>
  <c r="Z11" i="2" s="1"/>
  <c r="BD11" i="1"/>
  <c r="F9" i="3"/>
  <c r="G9" i="3" s="1"/>
  <c r="AA11" i="2"/>
  <c r="B11" i="4"/>
  <c r="BE13" i="1"/>
  <c r="H9" i="3"/>
  <c r="C21" i="12" l="1"/>
  <c r="D12" i="12"/>
  <c r="D21" i="12" s="1"/>
  <c r="I23" i="12"/>
  <c r="B21" i="12"/>
  <c r="B23" i="12" s="1"/>
  <c r="C23" i="12"/>
  <c r="K23" i="12"/>
  <c r="J23" i="12"/>
  <c r="H23" i="12"/>
  <c r="H13" i="12"/>
  <c r="BJ11" i="1"/>
  <c r="D23" i="12"/>
  <c r="C13" i="12"/>
  <c r="B21" i="4"/>
  <c r="D21" i="4" s="1"/>
  <c r="D11" i="4"/>
  <c r="H57" i="3"/>
  <c r="AA20" i="2"/>
  <c r="Y20" i="2"/>
  <c r="Z20" i="2" s="1"/>
  <c r="F57" i="3"/>
  <c r="G57" i="3" s="1"/>
  <c r="BE11" i="1"/>
  <c r="E23" i="12" l="1"/>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<sst xmlns="http://schemas.openxmlformats.org/spreadsheetml/2006/main" count="1021" uniqueCount="668">
  <si>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</si>
  <si>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</si>
  <si>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</si>
  <si>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</si>
  <si>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</si>
  <si>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</si>
  <si>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</si>
  <si>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</si>
  <si>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</si>
  <si>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</si>
  <si>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</si>
  <si>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</si>
  <si>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</si>
  <si>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</si>
  <si>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</si>
  <si>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</si>
  <si>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</si>
  <si>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</si>
  <si>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</si>
  <si>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</si>
  <si>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</si>
  <si>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</si>
  <si>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</si>
  <si>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</si>
  <si>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</si>
  <si>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</si>
  <si>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</si>
  <si>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</si>
  <si>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</si>
  <si>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</si>
  <si>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</si>
  <si>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</si>
  <si>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</si>
  <si>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</si>
  <si>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</si>
  <si>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</si>
  <si>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</si>
  <si>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</si>
  <si>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</si>
  <si>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</si>
  <si>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</si>
  <si>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</si>
  <si>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</si>
  <si>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</si>
  <si>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</si>
  <si>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</si>
  <si>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</si>
  <si>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</si>
  <si>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</si>
  <si>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</si>
  <si>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</si>
  <si>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</si>
  <si>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</si>
  <si>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</si>
  <si>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</si>
  <si>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</si>
  <si>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</si>
  <si>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</si>
  <si>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</si>
  <si>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</si>
  <si>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</si>
  <si>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</si>
  <si>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</si>
  <si>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</si>
  <si>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</si>
  <si>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</si>
  <si>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</si>
  <si>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</si>
  <si>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</si>
  <si>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</si>
  <si>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</si>
  <si>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</si>
  <si>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</si>
  <si>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</si>
  <si>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</si>
  <si>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</si>
  <si>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</si>
  <si>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</si>
  <si>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</si>
  <si>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</si>
  <si>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</si>
  <si>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</si>
  <si>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</si>
  <si>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</si>
  <si>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</si>
  <si>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</si>
  <si>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</si>
  <si>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</si>
  <si>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</si>
  <si>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</si>
  <si>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</si>
  <si>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</si>
  <si>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</si>
  <si>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</si>
  <si>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</si>
  <si>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</si>
  <si>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</si>
  <si>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</si>
  <si>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</si>
  <si>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</si>
  <si>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</si>
  <si>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</si>
  <si>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</si>
  <si>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</si>
  <si>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</si>
  <si>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</si>
  <si>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</si>
  <si>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</si>
  <si>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</si>
  <si>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</si>
  <si>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</si>
  <si>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</si>
  <si>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</si>
  <si>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</si>
  <si>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</si>
  <si>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</si>
  <si>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</si>
  <si>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</si>
  <si>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</si>
  <si>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</si>
  <si>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</si>
  <si>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</si>
  <si>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</si>
  <si>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</si>
  <si>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</si>
  <si>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</si>
  <si>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</si>
  <si>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</si>
  <si>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</si>
  <si>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</si>
  <si>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</si>
  <si>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</si>
  <si>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</si>
  <si>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</si>
  <si>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</si>
  <si>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</si>
  <si>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</si>
  <si>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</si>
  <si>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</si>
  <si>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</si>
  <si>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</si>
  <si>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</si>
  <si>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</si>
  <si>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</si>
  <si>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</si>
  <si>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</si>
  <si>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</si>
  <si>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</si>
  <si>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</si>
  <si>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</si>
  <si>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</si>
  <si>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</si>
  <si>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</si>
  <si>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</si>
  <si>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</si>
  <si>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</si>
  <si>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</si>
  <si>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</si>
  <si>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</si>
  <si>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</si>
  <si>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</si>
  <si>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</si>
  <si>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</si>
  <si>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</si>
  <si>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</si>
  <si>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</si>
  <si>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</si>
  <si>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</si>
  <si>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</si>
  <si>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</si>
  <si>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</si>
  <si>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</si>
  <si>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</si>
  <si>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</si>
  <si>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</si>
  <si>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</si>
  <si>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</si>
  <si>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</si>
  <si>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</si>
  <si>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</si>
  <si>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</si>
  <si>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</si>
  <si>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</si>
  <si>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</si>
  <si>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</si>
  <si>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</si>
  <si>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</si>
  <si>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</si>
  <si>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</si>
  <si>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</si>
  <si>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</si>
  <si>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</si>
  <si>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</si>
  <si>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</si>
  <si>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</si>
  <si>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</si>
  <si>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</si>
  <si>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</si>
  <si>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</si>
  <si>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</si>
  <si>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</si>
  <si>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</si>
  <si>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</si>
  <si>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</si>
  <si>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</si>
  <si>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</si>
  <si>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</si>
  <si>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</si>
  <si>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</si>
  <si>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</si>
  <si>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</si>
  <si>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</si>
  <si>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</si>
  <si>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</si>
  <si>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</si>
  <si>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</si>
  <si>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</si>
  <si>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</si>
  <si>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</si>
  <si>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</si>
  <si>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</si>
  <si>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</si>
  <si>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</si>
  <si>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</si>
  <si>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</si>
  <si>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</si>
  <si>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</si>
  <si>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</si>
  <si>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</si>
  <si>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</si>
  <si>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</si>
  <si>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</si>
  <si>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</si>
  <si>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</si>
  <si>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</si>
  <si>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</si>
  <si>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</si>
  <si>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</si>
  <si>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</si>
  <si>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</si>
  <si>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</si>
  <si>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</si>
  <si>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</si>
  <si>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</si>
  <si>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</si>
  <si>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</si>
  <si>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</si>
  <si>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</si>
  <si>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</si>
  <si>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</si>
  <si>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</si>
  <si>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</si>
  <si>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</si>
  <si>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</si>
  <si>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</si>
  <si>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</si>
  <si>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</si>
  <si>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</si>
  <si>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</si>
  <si>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</si>
  <si>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</si>
  <si>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</si>
  <si>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</si>
  <si>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</si>
  <si>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</si>
  <si>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</si>
  <si>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</si>
  <si>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</si>
  <si>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</si>
  <si>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</si>
  <si>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</si>
  <si>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</si>
  <si>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</si>
  <si>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</si>
  <si>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</si>
  <si>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</si>
  <si>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</si>
  <si>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</si>
  <si>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</si>
  <si>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</si>
  <si>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</si>
  <si>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</si>
  <si>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</si>
  <si>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</si>
  <si>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</si>
  <si>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</si>
  <si>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</si>
  <si>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</si>
  <si>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</si>
  <si>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</si>
  <si>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</si>
  <si>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</si>
  <si>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</si>
  <si>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</si>
  <si>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</si>
  <si>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</si>
  <si>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</si>
  <si>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</si>
  <si>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</si>
  <si>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</si>
  <si>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</si>
  <si>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</si>
  <si>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</si>
  <si>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</si>
  <si>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</si>
  <si>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</si>
  <si>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</si>
  <si>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</si>
  <si>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</si>
  <si>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</si>
  <si>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</si>
  <si>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</si>
  <si>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</si>
  <si>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</si>
  <si>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</si>
  <si>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</si>
  <si>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</si>
  <si>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</si>
  <si>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</si>
  <si>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</si>
  <si>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</si>
  <si>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</si>
  <si>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</si>
  <si>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</si>
  <si>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</si>
  <si>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</si>
  <si>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</si>
  <si>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</si>
  <si>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</si>
  <si>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</si>
  <si>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</si>
  <si>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</si>
  <si>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</si>
  <si>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</si>
  <si>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</si>
  <si>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</si>
  <si>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</si>
  <si>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</si>
  <si>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</si>
  <si>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</si>
  <si>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</si>
  <si>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</si>
  <si>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</si>
  <si>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</si>
  <si>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</si>
  <si>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</si>
  <si>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</si>
  <si>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</si>
  <si>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</si>
  <si>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</si>
  <si>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</si>
  <si>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</si>
  <si>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</si>
  <si>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</si>
  <si>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</si>
  <si>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</si>
  <si>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</si>
  <si>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</si>
  <si>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</si>
  <si>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</si>
  <si>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</si>
  <si>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</si>
  <si>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</si>
  <si>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</si>
  <si>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</si>
  <si>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</si>
  <si>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</si>
  <si>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</si>
  <si>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</si>
  <si>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</si>
  <si>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</si>
  <si>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</si>
  <si>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</si>
  <si>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</si>
  <si>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</si>
  <si>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</si>
  <si>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</si>
  <si>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</si>
  <si>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</si>
  <si>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</si>
  <si>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</si>
  <si>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</si>
  <si>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</si>
  <si>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</si>
  <si>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</si>
  <si>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</si>
  <si>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</si>
  <si>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</si>
  <si>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</si>
  <si>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</si>
  <si>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</si>
  <si>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</si>
  <si>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</si>
  <si>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</si>
  <si>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</si>
  <si>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</si>
  <si>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</si>
  <si>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</si>
  <si>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</si>
  <si>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</si>
  <si>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</si>
  <si>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</si>
  <si>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</si>
  <si>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</si>
  <si>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</si>
  <si>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</si>
  <si>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</si>
  <si>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</si>
  <si>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</si>
  <si>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</si>
  <si>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</si>
  <si>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</si>
  <si>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</si>
  <si>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</si>
  <si>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</si>
  <si>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</si>
  <si>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</si>
  <si>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</si>
  <si>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</si>
  <si>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</si>
  <si>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</si>
  <si>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</si>
  <si>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</si>
  <si>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</si>
  <si>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</si>
  <si>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</si>
  <si>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</si>
  <si>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</si>
  <si>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</si>
  <si>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</si>
  <si>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</si>
  <si>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</si>
  <si>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</si>
  <si>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</si>
  <si>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</si>
  <si>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</si>
  <si>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</si>
  <si>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</si>
  <si>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</si>
  <si>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</si>
  <si>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</si>
  <si>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</si>
  <si>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</si>
  <si>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</si>
  <si>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</si>
  <si>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</si>
  <si>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</si>
  <si>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</si>
  <si>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</si>
  <si>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</si>
  <si>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</si>
  <si>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</si>
  <si>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</si>
  <si>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</si>
  <si>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</si>
  <si>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</si>
  <si>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</si>
  <si>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</si>
  <si>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</si>
  <si>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</si>
  <si>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</si>
  <si>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</si>
  <si>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</si>
  <si>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</si>
  <si>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</si>
  <si>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</si>
  <si>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</si>
  <si>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</si>
  <si>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</si>
  <si>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</si>
  <si>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</si>
  <si>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</si>
  <si>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</si>
  <si>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</si>
  <si>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</si>
  <si>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</si>
  <si>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</si>
  <si>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</si>
  <si>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</si>
  <si>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</si>
  <si>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</si>
  <si>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</si>
  <si>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</si>
  <si>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</si>
  <si>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</si>
  <si>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</si>
  <si>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</si>
  <si>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</si>
  <si>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</si>
  <si>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</si>
  <si>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</si>
  <si>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</si>
  <si>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</si>
  <si>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</si>
  <si>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</si>
  <si>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</si>
  <si>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</si>
  <si>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</si>
  <si>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</si>
  <si>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</si>
  <si>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</si>
  <si>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</si>
  <si>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</si>
  <si>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</si>
  <si>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</si>
  <si>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</si>
  <si>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</si>
  <si>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</si>
  <si>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</si>
  <si>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</si>
  <si>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</si>
  <si>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</si>
  <si>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</si>
  <si>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</si>
  <si>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</si>
  <si>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</si>
  <si>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</si>
  <si>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</si>
  <si>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</si>
  <si>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</si>
  <si>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</si>
  <si>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</si>
  <si>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</si>
  <si>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</si>
  <si>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</si>
  <si>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</si>
  <si>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</si>
  <si>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</si>
  <si>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</si>
  <si>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</si>
  <si>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</si>
  <si>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</si>
  <si>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</si>
  <si>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</si>
  <si>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</si>
  <si>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</si>
  <si>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</si>
  <si>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</si>
  <si>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</si>
  <si>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</si>
  <si>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</si>
  <si>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</si>
  <si>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</si>
  <si>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</si>
  <si>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</si>
  <si>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</si>
  <si>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</si>
  <si>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</si>
  <si>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</si>
  <si>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</si>
  <si>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</si>
  <si>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</si>
  <si>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</si>
  <si>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</si>
  <si>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</si>
  <si>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</si>
  <si>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</si>
  <si>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</si>
  <si>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</si>
  <si>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</si>
  <si>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</si>
  <si>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</si>
  <si>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</si>
  <si>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</si>
  <si>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</si>
  <si>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</si>
  <si>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</si>
  <si>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</si>
  <si>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</si>
  <si>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</si>
  <si>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</si>
  <si>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</si>
  <si>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</si>
  <si>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</si>
  <si>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</si>
  <si>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</si>
  <si>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</si>
  <si>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</si>
  <si>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</si>
  <si>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</si>
  <si>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</si>
  <si>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</si>
  <si>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</si>
  <si>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</si>
  <si>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</si>
  <si>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</si>
  <si>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</si>
  <si>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</si>
  <si>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</si>
  <si>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</si>
  <si>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</si>
  <si>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</si>
  <si>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</si>
  <si>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</si>
  <si>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</si>
  <si>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</si>
  <si>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</si>
  <si>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</si>
  <si>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</si>
  <si>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</si>
  <si>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</si>
  <si>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</si>
  <si>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</si>
  <si>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</si>
  <si>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</si>
  <si>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</si>
  <si>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</si>
  <si>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</si>
  <si>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</si>
  <si>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</si>
  <si>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</si>
  <si>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</si>
  <si>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</si>
  <si>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</si>
  <si>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</si>
  <si>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</si>
  <si>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</si>
  <si>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</si>
  <si>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</si>
  <si>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</si>
  <si>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</si>
  <si>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</si>
  <si>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</si>
  <si>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</si>
  <si>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</si>
  <si>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</si>
  <si>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</si>
  <si>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</si>
  <si>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</si>
  <si>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</si>
  <si>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</si>
  <si>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</si>
  <si>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</si>
  <si>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</si>
  <si>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</si>
  <si>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</si>
  <si>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</si>
  <si>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</si>
  <si>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</si>
  <si>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</si>
  <si>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</si>
  <si>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</si>
  <si>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</si>
  <si>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</si>
  <si>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</si>
  <si>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</si>
  <si>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</si>
  <si>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</si>
  <si>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</si>
  <si>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</si>
  <si>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</si>
  <si>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</si>
  <si>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</si>
  <si>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</si>
  <si>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</si>
  <si>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</si>
  <si>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</si>
  <si>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H-05</t>
  </si>
  <si>
    <t>H-16</t>
  </si>
  <si>
    <t>H-07</t>
  </si>
  <si>
    <t>H-12</t>
  </si>
  <si>
    <t>EJERCICIO ECONÓMICO 2023</t>
  </si>
  <si>
    <t>E-10306</t>
  </si>
  <si>
    <t>E-108</t>
  </si>
  <si>
    <t>PROCENTAJES DE EJECUCIÓN - COMPROMISO Y DISPONIBLE POR  MES PERIODO 2023</t>
  </si>
  <si>
    <t>AL 31 DE MARZO  DEL 2023</t>
  </si>
  <si>
    <t>AL 31 DE MARZO 2023</t>
  </si>
  <si>
    <t>E-606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</si>
</sst>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8"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26"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xf numFmtId="3" fontId="0" fillId="0" borderId="0" xfId="0" applyNumberFormat="1" applyAlignment="1">
      <alignment horizontal="right"/>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MARZO 2023</a:t>
            </a:r>
          </a:p>
        </c:rich>
      </c:tx>
      <c:layout>
        <c:manualLayout>
          <c:xMode val="edge"/>
          <c:yMode val="edge"/>
          <c:x val="0.17848938719616569"/>
          <c:y val="4.4405683466781844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1679900770</c:v>
                </c:pt>
                <c:pt idx="1">
                  <c:v>384599457.27999997</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3580065.87</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80000</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170101680</c:v>
                </c:pt>
                <c:pt idx="1">
                  <c:v>111480538.05</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pt idx="2">
                  <c:v>0.25916435410410155</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pt idx="2">
                  <c:v>0.1025762454795749</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pt idx="2">
                  <c:v>0.63825940041632356</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tabSelected="1" view="pageBreakPreview" zoomScale="85" zoomScaleNormal="100" zoomScaleSheetLayoutView="85" zoomScalePageLayoutView="80" workbookViewId="0">
      <pane xSplit="27" ySplit="10" topLeftCell="AY123" activePane="bottomRight" state="frozen"/>
      <selection pane="topRight" activeCell="AB1" sqref="AB1"/>
      <selection pane="bottomLeft" activeCell="A11" sqref="A11"/>
      <selection pane="bottomRight" activeCell="A5" sqref="A5:BG5"/>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802" t="s">
        <v>453</v>
      </c>
      <c r="B1" s="803"/>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803"/>
      <c r="AI1" s="803"/>
      <c r="AJ1" s="803"/>
      <c r="AK1" s="803"/>
      <c r="AL1" s="803"/>
      <c r="AM1" s="803"/>
      <c r="AN1" s="803"/>
      <c r="AO1" s="803"/>
      <c r="AP1" s="803"/>
      <c r="AQ1" s="803"/>
      <c r="AR1" s="803"/>
      <c r="AS1" s="803"/>
      <c r="AT1" s="803"/>
      <c r="AU1" s="803"/>
      <c r="AV1" s="803"/>
      <c r="AW1" s="803"/>
      <c r="AX1" s="803"/>
      <c r="AY1" s="803"/>
      <c r="AZ1" s="803"/>
      <c r="BA1" s="803"/>
      <c r="BB1" s="803"/>
      <c r="BC1" s="803"/>
      <c r="BD1" s="803"/>
      <c r="BE1" s="803"/>
      <c r="BF1" s="803"/>
      <c r="BG1" s="804"/>
    </row>
    <row r="2" spans="1:64" ht="13.2" x14ac:dyDescent="0.25">
      <c r="A2" s="805" t="s">
        <v>661</v>
      </c>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806"/>
      <c r="AF2" s="806"/>
      <c r="AG2" s="806"/>
      <c r="AH2" s="806"/>
      <c r="AI2" s="806"/>
      <c r="AJ2" s="806"/>
      <c r="AK2" s="806"/>
      <c r="AL2" s="806"/>
      <c r="AM2" s="806"/>
      <c r="AN2" s="806"/>
      <c r="AO2" s="806"/>
      <c r="AP2" s="806"/>
      <c r="AQ2" s="806"/>
      <c r="AR2" s="806"/>
      <c r="AS2" s="806"/>
      <c r="AT2" s="806"/>
      <c r="AU2" s="806"/>
      <c r="AV2" s="806"/>
      <c r="AW2" s="806"/>
      <c r="AX2" s="806"/>
      <c r="AY2" s="806"/>
      <c r="AZ2" s="806"/>
      <c r="BA2" s="806"/>
      <c r="BB2" s="806"/>
      <c r="BC2" s="806"/>
      <c r="BD2" s="806"/>
      <c r="BE2" s="806"/>
      <c r="BF2" s="806"/>
      <c r="BG2" s="807"/>
    </row>
    <row r="3" spans="1:64" ht="13.2" x14ac:dyDescent="0.25">
      <c r="A3" s="808" t="s">
        <v>2</v>
      </c>
      <c r="B3" s="809"/>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809"/>
      <c r="AU3" s="809"/>
      <c r="AV3" s="809"/>
      <c r="AW3" s="809"/>
      <c r="AX3" s="809"/>
      <c r="AY3" s="809"/>
      <c r="AZ3" s="809"/>
      <c r="BA3" s="809"/>
      <c r="BB3" s="809"/>
      <c r="BC3" s="809"/>
      <c r="BD3" s="809"/>
      <c r="BE3" s="809"/>
      <c r="BF3" s="809"/>
      <c r="BG3" s="810"/>
    </row>
    <row r="4" spans="1:64" ht="13.2" x14ac:dyDescent="0.25">
      <c r="A4" s="805" t="s">
        <v>452</v>
      </c>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6"/>
      <c r="AN4" s="806"/>
      <c r="AO4" s="806"/>
      <c r="AP4" s="806"/>
      <c r="AQ4" s="806"/>
      <c r="AR4" s="806"/>
      <c r="AS4" s="806"/>
      <c r="AT4" s="806"/>
      <c r="AU4" s="806"/>
      <c r="AV4" s="806"/>
      <c r="AW4" s="806"/>
      <c r="AX4" s="806"/>
      <c r="AY4" s="806"/>
      <c r="AZ4" s="806"/>
      <c r="BA4" s="806"/>
      <c r="BB4" s="806"/>
      <c r="BC4" s="806"/>
      <c r="BD4" s="806"/>
      <c r="BE4" s="806"/>
      <c r="BF4" s="806"/>
      <c r="BG4" s="807"/>
      <c r="BI4" s="705"/>
    </row>
    <row r="5" spans="1:64" ht="13.2" x14ac:dyDescent="0.25">
      <c r="A5" s="805" t="s">
        <v>454</v>
      </c>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c r="AQ5" s="806"/>
      <c r="AR5" s="806"/>
      <c r="AS5" s="806"/>
      <c r="AT5" s="806"/>
      <c r="AU5" s="806"/>
      <c r="AV5" s="806"/>
      <c r="AW5" s="806"/>
      <c r="AX5" s="806"/>
      <c r="AY5" s="806"/>
      <c r="AZ5" s="806"/>
      <c r="BA5" s="806"/>
      <c r="BB5" s="806"/>
      <c r="BC5" s="806"/>
      <c r="BD5" s="806"/>
      <c r="BE5" s="806"/>
      <c r="BF5" s="806"/>
      <c r="BG5" s="807"/>
      <c r="BI5" s="705"/>
    </row>
    <row r="6" spans="1:64" ht="13.8" thickBot="1" x14ac:dyDescent="0.3">
      <c r="A6" s="811" t="s">
        <v>665</v>
      </c>
      <c r="B6" s="812"/>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2"/>
      <c r="AI6" s="812"/>
      <c r="AJ6" s="812"/>
      <c r="AK6" s="812"/>
      <c r="AL6" s="812"/>
      <c r="AM6" s="812"/>
      <c r="AN6" s="812"/>
      <c r="AO6" s="812"/>
      <c r="AP6" s="812"/>
      <c r="AQ6" s="812"/>
      <c r="AR6" s="812"/>
      <c r="AS6" s="812"/>
      <c r="AT6" s="812"/>
      <c r="AU6" s="812"/>
      <c r="AV6" s="812"/>
      <c r="AW6" s="812"/>
      <c r="AX6" s="812"/>
      <c r="AY6" s="812"/>
      <c r="AZ6" s="812"/>
      <c r="BA6" s="812"/>
      <c r="BB6" s="812"/>
      <c r="BC6" s="812"/>
      <c r="BD6" s="812"/>
      <c r="BE6" s="812"/>
      <c r="BF6" s="812"/>
      <c r="BG6" s="813"/>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1">
        <f>48.88/56.14</f>
        <v>0.87068044175276094</v>
      </c>
    </row>
    <row r="8" spans="1:64" ht="24" customHeight="1" thickBot="1" x14ac:dyDescent="0.3">
      <c r="A8" s="764" t="s">
        <v>4</v>
      </c>
      <c r="B8" s="765"/>
      <c r="C8" s="765"/>
      <c r="D8" s="765"/>
      <c r="E8" s="765"/>
      <c r="F8" s="765"/>
      <c r="G8" s="765"/>
      <c r="H8" s="765"/>
      <c r="I8" s="765"/>
      <c r="J8" s="765"/>
      <c r="K8" s="765"/>
      <c r="L8" s="765"/>
      <c r="M8" s="765"/>
      <c r="N8" s="765"/>
      <c r="O8" s="765"/>
      <c r="P8" s="765"/>
      <c r="Q8" s="765"/>
      <c r="R8" s="765"/>
      <c r="S8" s="765"/>
      <c r="T8" s="765"/>
      <c r="U8" s="765"/>
      <c r="V8" s="765"/>
      <c r="W8" s="765"/>
      <c r="X8" s="765"/>
      <c r="Y8" s="765"/>
      <c r="Z8" s="765"/>
      <c r="AA8" s="766"/>
      <c r="AB8" s="775" t="s">
        <v>310</v>
      </c>
      <c r="AC8" s="208"/>
      <c r="AD8" s="774" t="s">
        <v>421</v>
      </c>
      <c r="AE8" s="765"/>
      <c r="AF8" s="765"/>
      <c r="AG8" s="765"/>
      <c r="AH8" s="775" t="s">
        <v>418</v>
      </c>
      <c r="AI8" s="815" t="s">
        <v>657</v>
      </c>
      <c r="AJ8" s="796"/>
      <c r="AK8" s="791" t="s">
        <v>658</v>
      </c>
      <c r="AL8" s="792"/>
      <c r="AM8" s="793" t="s">
        <v>659</v>
      </c>
      <c r="AN8" s="794"/>
      <c r="AO8" s="791" t="s">
        <v>660</v>
      </c>
      <c r="AP8" s="792"/>
      <c r="AQ8" s="795"/>
      <c r="AR8" s="796"/>
      <c r="AS8" s="791"/>
      <c r="AT8" s="792"/>
      <c r="AU8" s="791"/>
      <c r="AV8" s="792"/>
      <c r="AW8" s="786" t="s">
        <v>303</v>
      </c>
      <c r="AX8" s="787"/>
      <c r="AY8" s="797" t="s">
        <v>311</v>
      </c>
      <c r="AZ8" s="780" t="s">
        <v>315</v>
      </c>
      <c r="BA8" s="775" t="s">
        <v>312</v>
      </c>
      <c r="BB8" s="775" t="s">
        <v>643</v>
      </c>
      <c r="BC8" s="775" t="s">
        <v>629</v>
      </c>
      <c r="BD8" s="780" t="s">
        <v>313</v>
      </c>
      <c r="BE8" s="775" t="s">
        <v>427</v>
      </c>
      <c r="BF8" s="775" t="s">
        <v>656</v>
      </c>
      <c r="BG8" s="775"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76"/>
      <c r="AC9" s="199" t="s">
        <v>3</v>
      </c>
      <c r="AD9" s="200" t="s">
        <v>9</v>
      </c>
      <c r="AE9" s="600" t="s">
        <v>10</v>
      </c>
      <c r="AF9" s="600" t="s">
        <v>422</v>
      </c>
      <c r="AG9" s="601" t="s">
        <v>423</v>
      </c>
      <c r="AH9" s="776"/>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8"/>
      <c r="AZ9" s="814"/>
      <c r="BA9" s="776"/>
      <c r="BB9" s="776"/>
      <c r="BC9" s="776"/>
      <c r="BD9" s="781"/>
      <c r="BE9" s="776"/>
      <c r="BF9" s="776"/>
      <c r="BG9" s="776"/>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0</v>
      </c>
      <c r="AJ11" s="362">
        <f t="shared" ref="AJ11:AR11" si="1">+AJ13+AJ47+AJ111+AJ148+AJ172+AJ194+AJ223+AJ261+AJ282+AJ297</f>
        <v>0</v>
      </c>
      <c r="AK11" s="363">
        <f t="shared" si="1"/>
        <v>0</v>
      </c>
      <c r="AL11" s="362">
        <f t="shared" si="1"/>
        <v>0</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0</v>
      </c>
      <c r="AX11" s="365">
        <f>+AX13+AX47+AX111+AX148+AX172+AX194+AX223+AX261+AX282+AX297</f>
        <v>0</v>
      </c>
      <c r="AY11" s="361">
        <f t="shared" si="2"/>
        <v>1928274677</v>
      </c>
      <c r="AZ11" s="361">
        <f>+AZ13+AZ47+AZ111+AZ148+AZ172+AZ194+AZ223+AZ261+AZ282+AZ297</f>
        <v>499740061.19999999</v>
      </c>
      <c r="BA11" s="361">
        <f t="shared" si="2"/>
        <v>197795176.62</v>
      </c>
      <c r="BB11" s="361">
        <f t="shared" si="2"/>
        <v>0</v>
      </c>
      <c r="BC11" s="361">
        <f t="shared" si="2"/>
        <v>1230739439.1800001</v>
      </c>
      <c r="BD11" s="361">
        <f t="shared" si="2"/>
        <v>1230739439.1800001</v>
      </c>
      <c r="BE11" s="484">
        <f>(AY11-BD11)/AY11</f>
        <v>0.36174059958367638</v>
      </c>
      <c r="BF11" s="361">
        <f t="shared" ref="BF11" si="3">+BF13+BF47+BF111+BF148+BF172+BF194+BF223+BF261+BF282+BF297</f>
        <v>1149577567.9300001</v>
      </c>
      <c r="BG11" s="730">
        <f>AZ11/AY11</f>
        <v>0.25916435410410155</v>
      </c>
      <c r="BH11" s="1"/>
      <c r="BI11" s="703">
        <v>859933930.85000002</v>
      </c>
      <c r="BJ11" s="706">
        <f>+BD11-BI11</f>
        <v>370805508.33000004</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1"/>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0</v>
      </c>
      <c r="AK13" s="371">
        <f t="shared" si="5"/>
        <v>0</v>
      </c>
      <c r="AL13" s="370">
        <f t="shared" si="5"/>
        <v>0</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0</v>
      </c>
      <c r="AY13" s="279">
        <f>AY14+AY20+AY26+AY32++AY38+AY44</f>
        <v>1679900770</v>
      </c>
      <c r="AZ13" s="611">
        <f>AZ14+AZ20+AZ26+AZ32++AZ38+AZ44</f>
        <v>384599457.27999997</v>
      </c>
      <c r="BA13" s="279">
        <f t="shared" si="6"/>
        <v>170939717</v>
      </c>
      <c r="BB13" s="279">
        <f t="shared" si="6"/>
        <v>0</v>
      </c>
      <c r="BC13" s="279">
        <f>+BD13+BB13</f>
        <v>1124361595.72</v>
      </c>
      <c r="BD13" s="279">
        <f t="shared" si="6"/>
        <v>1124361595.72</v>
      </c>
      <c r="BE13" s="540">
        <f>(AY13-BD13)/AY13</f>
        <v>0.33069761274054299</v>
      </c>
      <c r="BF13" s="279">
        <f t="shared" ref="BF13" si="7">BF14+BF20+BF26+BF32++BF38+BF44</f>
        <v>1073561683.72</v>
      </c>
      <c r="BG13" s="732">
        <f>AZ13/AY13</f>
        <v>0.22894177093567258</v>
      </c>
      <c r="BH13" s="1"/>
      <c r="BI13" s="703">
        <v>798404751.03999996</v>
      </c>
      <c r="BJ13" s="706">
        <f t="shared" si="4"/>
        <v>325956844.68000007</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0</v>
      </c>
      <c r="AK14" s="47">
        <f t="shared" si="8"/>
        <v>0</v>
      </c>
      <c r="AL14" s="48">
        <f t="shared" si="8"/>
        <v>0</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0</v>
      </c>
      <c r="AY14" s="68">
        <f>SUM(AY15:AY19)</f>
        <v>1193151526</v>
      </c>
      <c r="AZ14" s="613">
        <f>SUM(AZ15:AZ19)</f>
        <v>232858721.13</v>
      </c>
      <c r="BA14" s="68">
        <f t="shared" si="9"/>
        <v>0</v>
      </c>
      <c r="BB14" s="68">
        <f t="shared" si="9"/>
        <v>0</v>
      </c>
      <c r="BC14" s="68">
        <f>+BD14+BB14</f>
        <v>960292804.87</v>
      </c>
      <c r="BD14" s="237">
        <f t="shared" ref="BD14:BD19" si="10">AY14-AZ14-BA14</f>
        <v>960292804.87</v>
      </c>
      <c r="BE14" s="546">
        <f>(AY14-BD14)/AY14</f>
        <v>0.19516274006760143</v>
      </c>
      <c r="BF14" s="68">
        <f t="shared" ref="BF14" si="11">SUM(BF15:BF19)</f>
        <v>920605372.87</v>
      </c>
      <c r="BG14" s="733">
        <f>AZ14/AY14</f>
        <v>0.19516274006760143</v>
      </c>
      <c r="BH14" s="1"/>
      <c r="BI14" s="703">
        <v>642295521.13</v>
      </c>
      <c r="BJ14" s="706">
        <f t="shared" si="4"/>
        <v>317997283.74000001</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0</v>
      </c>
      <c r="AK15" s="28"/>
      <c r="AL15" s="29"/>
      <c r="AM15" s="38">
        <v>0</v>
      </c>
      <c r="AN15" s="39"/>
      <c r="AO15" s="28">
        <v>0</v>
      </c>
      <c r="AP15" s="29"/>
      <c r="AQ15" s="38"/>
      <c r="AR15" s="39">
        <v>0</v>
      </c>
      <c r="AS15" s="28">
        <v>0</v>
      </c>
      <c r="AT15" s="29"/>
      <c r="AU15" s="21"/>
      <c r="AV15" s="38">
        <v>0</v>
      </c>
      <c r="AW15" s="55">
        <f>AI15+AK15+AM15+AO15+AQ15+AS15+AV15</f>
        <v>0</v>
      </c>
      <c r="AX15" s="618">
        <f>AJ15+AL15+AN15+AP15+AR15+AT15+AU15</f>
        <v>0</v>
      </c>
      <c r="AY15" s="345">
        <f>AB15+AW15-AX15</f>
        <v>1193151526</v>
      </c>
      <c r="AZ15" s="619">
        <f>IFERROR(+VLOOKUP(A15,'Base de Datos'!$A$1:$H$75,7,0),0)</f>
        <v>232858721.13</v>
      </c>
      <c r="BA15" s="62">
        <f>IFERROR(+VLOOKUP(A15,'Base de Datos'!$A$1:$H$75,6,0),0)</f>
        <v>0</v>
      </c>
      <c r="BB15" s="62">
        <f>IFERROR(+VLOOKUP(A15,'Base de Datos'!$A$1:$H$75,8,0),0)</f>
        <v>0</v>
      </c>
      <c r="BC15" s="68">
        <f>+BD15+BB15</f>
        <v>960292804.87</v>
      </c>
      <c r="BD15" s="238">
        <f>AY15-AZ15-BA15</f>
        <v>960292804.87</v>
      </c>
      <c r="BE15" s="541">
        <f t="shared" ref="BE15:BE19" si="12">IFERROR(((AY15-BD15)/AY15),0)</f>
        <v>0.19516274006760143</v>
      </c>
      <c r="BF15" s="62">
        <f>IFERROR(+VLOOKUP(A15,'Base de Datos'!$A$1:$K$75,11,0),0)</f>
        <v>920605372.87</v>
      </c>
      <c r="BG15" s="734">
        <f t="shared" ref="BG15:BG21" si="13">IFERROR(+(AZ15/AY15),0)</f>
        <v>0.19516274006760143</v>
      </c>
      <c r="BH15" s="1"/>
      <c r="BI15" s="703">
        <v>642295521.13</v>
      </c>
      <c r="BJ15" s="706">
        <f t="shared" si="4"/>
        <v>317997283.74000001</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4">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4">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4">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4">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5"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4">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6">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6"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6"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6"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0</v>
      </c>
      <c r="AK26" s="47">
        <f t="shared" ref="AK26:AV26" si="21">SUM(AK27:AK31)</f>
        <v>0</v>
      </c>
      <c r="AL26" s="48">
        <f t="shared" si="21"/>
        <v>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0</v>
      </c>
      <c r="AY26" s="303">
        <f>SUM(AY27:AY31)</f>
        <v>228752244</v>
      </c>
      <c r="AZ26" s="613">
        <f>SUM(AZ27:AZ31)</f>
        <v>88680453.150000006</v>
      </c>
      <c r="BA26" s="68">
        <f t="shared" si="22"/>
        <v>0</v>
      </c>
      <c r="BB26" s="68">
        <f t="shared" si="22"/>
        <v>0</v>
      </c>
      <c r="BC26" s="68">
        <f t="shared" ref="BC26:BC33" si="23">+BD26+BB26</f>
        <v>140071790.84999999</v>
      </c>
      <c r="BD26" s="547">
        <f t="shared" si="22"/>
        <v>140071790.84999999</v>
      </c>
      <c r="BE26" s="583">
        <f t="shared" ref="BE26:BE32" si="24">(AY26-BD26)/AY26</f>
        <v>0.38767030914896733</v>
      </c>
      <c r="BF26" s="68">
        <f t="shared" ref="BF26" si="25">SUM(BF27:BF31)</f>
        <v>136765827.84999999</v>
      </c>
      <c r="BG26" s="735">
        <f t="shared" ref="BG26:BG43" si="26">AZ26/AY26</f>
        <v>0.38767030914896733</v>
      </c>
      <c r="BH26" s="1"/>
      <c r="BI26" s="703">
        <v>134805934.91</v>
      </c>
      <c r="BJ26" s="706">
        <f t="shared" si="4"/>
        <v>5265855.9399999976</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1131285</v>
      </c>
      <c r="BA27" s="62">
        <f>IFERROR(+VLOOKUP(A27,'Base de Datos'!$A$1:$H$75,6,0),0)</f>
        <v>0</v>
      </c>
      <c r="BB27" s="62">
        <f>IFERROR(+VLOOKUP(A27,'Base de Datos'!$A$1:$H$75,8,0),0)</f>
        <v>0</v>
      </c>
      <c r="BC27" s="68">
        <f t="shared" si="23"/>
        <v>7663023</v>
      </c>
      <c r="BD27" s="548">
        <f t="shared" si="20"/>
        <v>7663023</v>
      </c>
      <c r="BE27" s="622">
        <f t="shared" ref="BE27:BE31" si="29">IFERROR(((AY27-BD27)/AY27),0)</f>
        <v>0.12863831924012667</v>
      </c>
      <c r="BF27" s="62">
        <f>IFERROR(+VLOOKUP(A27,'Base de Datos'!$A$1:$K$75,11,0),0)</f>
        <v>7663023</v>
      </c>
      <c r="BG27" s="734">
        <f t="shared" ref="BG27:BG31" si="30">IFERROR(+(AZ27/AY27),0)</f>
        <v>0.12863831924012667</v>
      </c>
      <c r="BH27" s="1"/>
      <c r="BI27" s="703">
        <v>5656557</v>
      </c>
      <c r="BJ27" s="706">
        <f t="shared" si="4"/>
        <v>2006466</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2305800</v>
      </c>
      <c r="BA28" s="62">
        <f>IFERROR(+VLOOKUP(A28,'Base de Datos'!$A$1:$H$75,6,0),0)</f>
        <v>0</v>
      </c>
      <c r="BB28" s="62">
        <f>IFERROR(+VLOOKUP(A28,'Base de Datos'!$A$1:$H$75,8,0),0)</f>
        <v>0</v>
      </c>
      <c r="BC28" s="68">
        <f>+BD28+BB28</f>
        <v>7854870</v>
      </c>
      <c r="BD28" s="548">
        <f>AY28-AZ28-BA28</f>
        <v>7854870</v>
      </c>
      <c r="BE28" s="622">
        <f t="shared" si="29"/>
        <v>0.22693385377145406</v>
      </c>
      <c r="BF28" s="62">
        <f>IFERROR(+VLOOKUP(A28,'Base de Datos'!$A$1:$K$75,11,0),0)</f>
        <v>7854870</v>
      </c>
      <c r="BG28" s="734">
        <f t="shared" si="30"/>
        <v>0.22693385377145406</v>
      </c>
      <c r="BH28" s="1"/>
      <c r="BI28" s="703">
        <v>7932900</v>
      </c>
      <c r="BJ28" s="706">
        <f t="shared" si="4"/>
        <v>-78030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0</v>
      </c>
      <c r="AK29" s="719">
        <v>0</v>
      </c>
      <c r="AL29" s="718">
        <v>0</v>
      </c>
      <c r="AM29" s="719">
        <v>0</v>
      </c>
      <c r="AN29" s="718">
        <v>0</v>
      </c>
      <c r="AO29" s="719">
        <v>0</v>
      </c>
      <c r="AP29" s="718"/>
      <c r="AQ29" s="719">
        <v>0</v>
      </c>
      <c r="AR29" s="718">
        <v>0</v>
      </c>
      <c r="AS29" s="719">
        <v>0</v>
      </c>
      <c r="AT29" s="718"/>
      <c r="AU29" s="720"/>
      <c r="AV29" s="719">
        <v>0</v>
      </c>
      <c r="AW29" s="721">
        <f t="shared" si="27"/>
        <v>0</v>
      </c>
      <c r="AX29" s="716">
        <f>AJ29+AL29+AN29+AP29+AR29+AT29+AU29</f>
        <v>0</v>
      </c>
      <c r="AY29" s="722">
        <f t="shared" si="28"/>
        <v>109960788</v>
      </c>
      <c r="AZ29" s="723">
        <f>IFERROR(+VLOOKUP(A29,'Base de Datos'!$A$1:$H$75,7,0),0)</f>
        <v>0</v>
      </c>
      <c r="BA29" s="717">
        <f>IFERROR(+VLOOKUP(A29,'Base de Datos'!$A$1:$H$75,6,0),0)</f>
        <v>0</v>
      </c>
      <c r="BB29" s="717">
        <f>IFERROR(+VLOOKUP(A29,'Base de Datos'!$A$1:$H$75,8,0),0)</f>
        <v>0</v>
      </c>
      <c r="BC29" s="724">
        <f t="shared" si="23"/>
        <v>109960788</v>
      </c>
      <c r="BD29" s="548">
        <f>AY29-AZ29-BA29</f>
        <v>109960788</v>
      </c>
      <c r="BE29" s="725">
        <f t="shared" si="29"/>
        <v>0</v>
      </c>
      <c r="BF29" s="62">
        <f>IFERROR(+VLOOKUP(A29,'Base de Datos'!$A$1:$K$75,11,0),0)</f>
        <v>106654825</v>
      </c>
      <c r="BG29" s="737">
        <f t="shared" si="30"/>
        <v>0</v>
      </c>
      <c r="BH29" s="1"/>
      <c r="BI29" s="711">
        <v>109084994.90000001</v>
      </c>
      <c r="BJ29" s="706">
        <f t="shared" si="4"/>
        <v>875793.09999999404</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4">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68190</v>
      </c>
      <c r="BA31" s="62">
        <f>IFERROR(+VLOOKUP(A31,'Base de Datos'!$A$1:$H$75,6,0),0)</f>
        <v>0</v>
      </c>
      <c r="BB31" s="62">
        <f>IFERROR(+VLOOKUP(A31,'Base de Datos'!$A$1:$H$75,8,0),0)</f>
        <v>0</v>
      </c>
      <c r="BC31" s="68">
        <f t="shared" si="23"/>
        <v>2986722</v>
      </c>
      <c r="BD31" s="548">
        <f>AY31-AZ31-BA31</f>
        <v>2986722</v>
      </c>
      <c r="BE31" s="622">
        <f t="shared" si="29"/>
        <v>2.2321428571428572E-2</v>
      </c>
      <c r="BF31" s="62">
        <f>IFERROR(+VLOOKUP(A31,'Base de Datos'!$A$1:$K$75,11,0),0)</f>
        <v>2986722</v>
      </c>
      <c r="BG31" s="734">
        <f t="shared" si="30"/>
        <v>2.2321428571428572E-2</v>
      </c>
      <c r="BH31" s="1"/>
      <c r="BI31" s="711">
        <v>2835736.5</v>
      </c>
      <c r="BJ31" s="706">
        <f t="shared" si="4"/>
        <v>150985.5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0</v>
      </c>
      <c r="AK32" s="47">
        <f t="shared" si="31"/>
        <v>0</v>
      </c>
      <c r="AL32" s="48">
        <f t="shared" si="31"/>
        <v>0</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0</v>
      </c>
      <c r="AY32" s="68">
        <f>SUM(AY33:AY37)</f>
        <v>127884000</v>
      </c>
      <c r="AZ32" s="613">
        <f>SUM(AZ33:AZ37)</f>
        <v>31396187</v>
      </c>
      <c r="BA32" s="68">
        <f t="shared" si="32"/>
        <v>84603813</v>
      </c>
      <c r="BB32" s="68">
        <f t="shared" si="32"/>
        <v>0</v>
      </c>
      <c r="BC32" s="68">
        <f t="shared" si="23"/>
        <v>11884000</v>
      </c>
      <c r="BD32" s="547">
        <f t="shared" si="32"/>
        <v>11884000</v>
      </c>
      <c r="BE32" s="583">
        <f t="shared" si="24"/>
        <v>0.90707203403084047</v>
      </c>
      <c r="BF32" s="68">
        <f t="shared" ref="BF32" si="33">SUM(BF33:BF37)</f>
        <v>8014476</v>
      </c>
      <c r="BG32" s="735">
        <f t="shared" si="26"/>
        <v>0.24550520002502269</v>
      </c>
      <c r="BH32" s="1"/>
      <c r="BI32" s="711">
        <v>0</v>
      </c>
      <c r="BJ32" s="706">
        <f t="shared" si="4"/>
        <v>11884000</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0</v>
      </c>
      <c r="AK33" s="28">
        <v>0</v>
      </c>
      <c r="AL33" s="29">
        <v>0</v>
      </c>
      <c r="AM33" s="38">
        <v>0</v>
      </c>
      <c r="AN33" s="39">
        <v>0</v>
      </c>
      <c r="AO33" s="28">
        <v>0</v>
      </c>
      <c r="AP33" s="29"/>
      <c r="AQ33" s="38">
        <v>0</v>
      </c>
      <c r="AR33" s="39">
        <v>0</v>
      </c>
      <c r="AS33" s="28">
        <v>0</v>
      </c>
      <c r="AT33" s="29"/>
      <c r="AU33" s="630"/>
      <c r="AV33" s="38">
        <v>0</v>
      </c>
      <c r="AW33" s="55">
        <f t="shared" si="27"/>
        <v>0</v>
      </c>
      <c r="AX33" s="618">
        <f>AJ33+AL33+AN33+AP33+AR33+AT33+AU33</f>
        <v>0</v>
      </c>
      <c r="AY33" s="345">
        <f t="shared" si="28"/>
        <v>121326000</v>
      </c>
      <c r="AZ33" s="619">
        <f>IFERROR(+VLOOKUP(A33,'Base de Datos'!$A$1:$H$75,7,0),0)</f>
        <v>29786111</v>
      </c>
      <c r="BA33" s="62">
        <f>IFERROR(+VLOOKUP(A33,'Base de Datos'!$A$1:$H$75,6,0),0)</f>
        <v>80213889</v>
      </c>
      <c r="BB33" s="62">
        <f>IFERROR(+VLOOKUP(A33,'Base de Datos'!$A$1:$H$75,8,0),0)</f>
        <v>0</v>
      </c>
      <c r="BC33" s="68">
        <f t="shared" si="23"/>
        <v>11326000</v>
      </c>
      <c r="BD33" s="548">
        <f t="shared" si="20"/>
        <v>11326000</v>
      </c>
      <c r="BE33" s="622">
        <f t="shared" ref="BE33:BE37" si="34">IFERROR(((AY33-BD33)/AY33),0)</f>
        <v>0.90664820401233037</v>
      </c>
      <c r="BF33" s="62">
        <f>IFERROR(+VLOOKUP(A33,'Base de Datos'!$A$1:$K$75,11,0),0)</f>
        <v>7654913</v>
      </c>
      <c r="BG33" s="734">
        <f t="shared" ref="BG33:BG37" si="35">IFERROR(+(AZ33/AY33),0)</f>
        <v>0.24550476402419927</v>
      </c>
      <c r="BH33" s="1"/>
      <c r="BI33" s="711">
        <v>0</v>
      </c>
      <c r="BJ33" s="706">
        <f t="shared" si="4"/>
        <v>11326000</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4">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4">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4">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0</v>
      </c>
      <c r="AK37" s="28">
        <v>0</v>
      </c>
      <c r="AL37" s="29">
        <v>0</v>
      </c>
      <c r="AM37" s="38">
        <v>0</v>
      </c>
      <c r="AN37" s="39">
        <v>0</v>
      </c>
      <c r="AO37" s="28">
        <v>0</v>
      </c>
      <c r="AP37" s="29"/>
      <c r="AQ37" s="38">
        <v>0</v>
      </c>
      <c r="AR37" s="39">
        <v>0</v>
      </c>
      <c r="AS37" s="28">
        <v>0</v>
      </c>
      <c r="AT37" s="29"/>
      <c r="AU37" s="630"/>
      <c r="AV37" s="38">
        <v>0</v>
      </c>
      <c r="AW37" s="55">
        <f t="shared" si="27"/>
        <v>0</v>
      </c>
      <c r="AX37" s="618">
        <f>AJ37+AL37+AN37+AP37+AR37+AT37+AU37</f>
        <v>0</v>
      </c>
      <c r="AY37" s="345">
        <f t="shared" si="28"/>
        <v>6558000</v>
      </c>
      <c r="AZ37" s="619">
        <f>IFERROR(+VLOOKUP(A37,'Base de Datos'!$A$1:$H$75,7,0),0)</f>
        <v>1610076</v>
      </c>
      <c r="BA37" s="62">
        <f>IFERROR(+VLOOKUP(A37,'Base de Datos'!$A$1:$H$75,6,0),0)</f>
        <v>4389924</v>
      </c>
      <c r="BB37" s="62">
        <f>IFERROR(+VLOOKUP(A37,'Base de Datos'!$A$1:$H$75,8,0),0)</f>
        <v>0</v>
      </c>
      <c r="BC37" s="68">
        <f>+BD37+BB37</f>
        <v>558000</v>
      </c>
      <c r="BD37" s="548">
        <f t="shared" si="20"/>
        <v>558000</v>
      </c>
      <c r="BE37" s="622">
        <f t="shared" si="34"/>
        <v>0.91491308325709053</v>
      </c>
      <c r="BF37" s="62">
        <f>IFERROR(+VLOOKUP(A37,'Base de Datos'!$A$1:$K$75,11,0),0)</f>
        <v>359563</v>
      </c>
      <c r="BG37" s="734">
        <f t="shared" si="35"/>
        <v>0.24551326623970723</v>
      </c>
      <c r="BH37" s="1"/>
      <c r="BI37" s="711">
        <v>0</v>
      </c>
      <c r="BJ37" s="706">
        <f t="shared" si="4"/>
        <v>558000</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0</v>
      </c>
      <c r="AK38" s="47">
        <f t="shared" si="36"/>
        <v>0</v>
      </c>
      <c r="AL38" s="48">
        <f t="shared" si="36"/>
        <v>0</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0</v>
      </c>
      <c r="AY38" s="68">
        <f>SUM(AY39:AY43)</f>
        <v>130113000</v>
      </c>
      <c r="AZ38" s="613">
        <f t="shared" si="37"/>
        <v>31664096</v>
      </c>
      <c r="BA38" s="68">
        <f t="shared" si="37"/>
        <v>86335904</v>
      </c>
      <c r="BB38" s="68">
        <f t="shared" si="37"/>
        <v>0</v>
      </c>
      <c r="BC38" s="68">
        <f>+BD38+BB38</f>
        <v>12113000</v>
      </c>
      <c r="BD38" s="547">
        <f t="shared" si="37"/>
        <v>12113000</v>
      </c>
      <c r="BE38" s="583">
        <f t="shared" ref="BE38:BE43" si="38">(AY38-BD38)/AY38</f>
        <v>0.90690399883178463</v>
      </c>
      <c r="BF38" s="68">
        <f t="shared" ref="BF38" si="39">SUM(BF39:BF43)</f>
        <v>8176007</v>
      </c>
      <c r="BG38" s="735">
        <f t="shared" si="26"/>
        <v>0.2433584345914705</v>
      </c>
      <c r="BH38" s="1"/>
      <c r="BI38" s="711">
        <v>21303295</v>
      </c>
      <c r="BJ38" s="706">
        <f t="shared" si="4"/>
        <v>-9190295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0</v>
      </c>
      <c r="AK39" s="28">
        <v>0</v>
      </c>
      <c r="AL39" s="29">
        <v>0</v>
      </c>
      <c r="AM39" s="38">
        <v>0</v>
      </c>
      <c r="AN39" s="39">
        <v>0</v>
      </c>
      <c r="AO39" s="28">
        <v>0</v>
      </c>
      <c r="AP39" s="29"/>
      <c r="AQ39" s="38">
        <v>0</v>
      </c>
      <c r="AR39" s="39">
        <v>0</v>
      </c>
      <c r="AS39" s="28">
        <v>0</v>
      </c>
      <c r="AT39" s="29"/>
      <c r="AU39" s="630"/>
      <c r="AV39" s="38">
        <v>0</v>
      </c>
      <c r="AW39" s="55">
        <f t="shared" si="27"/>
        <v>0</v>
      </c>
      <c r="AX39" s="618">
        <f>AJ39+AL39+AN39+AP39+AR39+AT39+AU39</f>
        <v>0</v>
      </c>
      <c r="AY39" s="345">
        <f t="shared" si="28"/>
        <v>71090000</v>
      </c>
      <c r="AZ39" s="619">
        <f>IFERROR(+VLOOKUP(A39,'Base de Datos'!$A$1:$H$75,7,0),0)</f>
        <v>17173533</v>
      </c>
      <c r="BA39" s="62">
        <f>IFERROR(+VLOOKUP(A39,'Base de Datos'!$A$1:$H$75,6,0),0)</f>
        <v>47826467</v>
      </c>
      <c r="BB39" s="62">
        <f>IFERROR(+VLOOKUP(A39,'Base de Datos'!$A$1:$H$75,8,0),0)</f>
        <v>0</v>
      </c>
      <c r="BC39" s="68">
        <f>+BD39+BB39</f>
        <v>6090000</v>
      </c>
      <c r="BD39" s="548">
        <f t="shared" si="20"/>
        <v>6090000</v>
      </c>
      <c r="BE39" s="622">
        <f t="shared" ref="BE39:BE41" si="40">IFERROR(((AY39-BD39)/AY39),0)</f>
        <v>0.91433394288929526</v>
      </c>
      <c r="BF39" s="62">
        <f>IFERROR(+VLOOKUP(A39,'Base de Datos'!$A$1:$K$75,11,0),0)</f>
        <v>3938941</v>
      </c>
      <c r="BG39" s="734">
        <f t="shared" ref="BG39:BG41" si="41">IFERROR(+(AZ39/AY39),0)</f>
        <v>0.24157452524968351</v>
      </c>
      <c r="BH39" s="1"/>
      <c r="BI39" s="703">
        <v>0</v>
      </c>
      <c r="BJ39" s="706">
        <f t="shared" si="4"/>
        <v>6090000</v>
      </c>
      <c r="BK39" s="762"/>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c r="AK40" s="28">
        <v>0</v>
      </c>
      <c r="AL40" s="29">
        <v>0</v>
      </c>
      <c r="AM40" s="38">
        <v>0</v>
      </c>
      <c r="AN40" s="39">
        <v>0</v>
      </c>
      <c r="AO40" s="28">
        <v>0</v>
      </c>
      <c r="AP40" s="29"/>
      <c r="AQ40" s="38">
        <v>0</v>
      </c>
      <c r="AR40" s="39">
        <v>0</v>
      </c>
      <c r="AS40" s="28">
        <v>0</v>
      </c>
      <c r="AT40" s="29"/>
      <c r="AU40" s="630"/>
      <c r="AV40" s="38">
        <v>0</v>
      </c>
      <c r="AW40" s="55">
        <f t="shared" si="27"/>
        <v>0</v>
      </c>
      <c r="AX40" s="618">
        <f>AJ40+AL40+AN40+AP40+AR40+AT40+AU40</f>
        <v>0</v>
      </c>
      <c r="AY40" s="345">
        <f>AB40+AW40-AX40</f>
        <v>39349000</v>
      </c>
      <c r="AZ40" s="619">
        <f>IFERROR(+VLOOKUP(A40,'Base de Datos'!$A$1:$H$75,7,0),0)</f>
        <v>9660380</v>
      </c>
      <c r="BA40" s="62">
        <f>IFERROR(+VLOOKUP(A40,'Base de Datos'!$A$1:$H$75,6,0),0)</f>
        <v>25339620</v>
      </c>
      <c r="BB40" s="62">
        <f>IFERROR(+VLOOKUP(A40,'Base de Datos'!$A$1:$H$75,8,0),0)</f>
        <v>0</v>
      </c>
      <c r="BC40" s="68">
        <f>+BD40+BB40</f>
        <v>4349000</v>
      </c>
      <c r="BD40" s="548">
        <f t="shared" si="20"/>
        <v>4349000</v>
      </c>
      <c r="BE40" s="622">
        <f t="shared" si="40"/>
        <v>0.88947622557117079</v>
      </c>
      <c r="BF40" s="62">
        <f>IFERROR(+VLOOKUP(A40,'Base de Datos'!$A$1:$K$75,11,0),0)</f>
        <v>3158377</v>
      </c>
      <c r="BG40" s="734">
        <f t="shared" si="41"/>
        <v>0.24550509542809221</v>
      </c>
      <c r="BH40" s="1"/>
      <c r="BI40" s="703">
        <v>19651648</v>
      </c>
      <c r="BJ40" s="706">
        <f t="shared" si="4"/>
        <v>-15302648</v>
      </c>
      <c r="BK40" s="762">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c r="AK41" s="28">
        <v>0</v>
      </c>
      <c r="AL41" s="29">
        <v>0</v>
      </c>
      <c r="AM41" s="38">
        <v>0</v>
      </c>
      <c r="AN41" s="39">
        <v>0</v>
      </c>
      <c r="AO41" s="28">
        <v>0</v>
      </c>
      <c r="AP41" s="29"/>
      <c r="AQ41" s="38">
        <v>0</v>
      </c>
      <c r="AR41" s="39">
        <v>0</v>
      </c>
      <c r="AS41" s="28"/>
      <c r="AT41" s="29">
        <v>0</v>
      </c>
      <c r="AU41" s="630"/>
      <c r="AV41" s="38">
        <v>0</v>
      </c>
      <c r="AW41" s="55">
        <f t="shared" si="27"/>
        <v>0</v>
      </c>
      <c r="AX41" s="618">
        <f>AJ41+AL41+AN41+AP41+AR41+AT41+AU41</f>
        <v>0</v>
      </c>
      <c r="AY41" s="345">
        <f t="shared" si="28"/>
        <v>19674000</v>
      </c>
      <c r="AZ41" s="619">
        <f>IFERROR(+VLOOKUP(A41,'Base de Datos'!$A$1:$H$75,7,0),0)</f>
        <v>4830183</v>
      </c>
      <c r="BA41" s="62">
        <f>IFERROR(+VLOOKUP(A41,'Base de Datos'!$A$1:$H$75,6,0),0)</f>
        <v>13169817</v>
      </c>
      <c r="BB41" s="62">
        <f>IFERROR(+VLOOKUP(B41,'Base de Datos'!$A$1:$H$75,6,0),0)</f>
        <v>0</v>
      </c>
      <c r="BC41" s="68">
        <f>+BD41+BB41</f>
        <v>1674000</v>
      </c>
      <c r="BD41" s="548">
        <f t="shared" si="20"/>
        <v>1674000</v>
      </c>
      <c r="BE41" s="622">
        <f t="shared" si="40"/>
        <v>0.91491308325709053</v>
      </c>
      <c r="BF41" s="62">
        <f>IFERROR(+VLOOKUP(A41,'Base de Datos'!$A$1:$K$75,11,0),0)</f>
        <v>1078689</v>
      </c>
      <c r="BG41" s="734">
        <f t="shared" si="41"/>
        <v>0.24551097895699908</v>
      </c>
      <c r="BH41" s="1"/>
      <c r="BI41" s="703">
        <v>1651647</v>
      </c>
      <c r="BJ41" s="706">
        <f t="shared" si="4"/>
        <v>22353</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6"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6"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8"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8"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8"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0</v>
      </c>
      <c r="AL47" s="370">
        <f>+AL48+AL54+AL60+AL68+AL76+AL81+AL85+AL89+AL99+AL104</f>
        <v>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0</v>
      </c>
      <c r="AX47" s="611">
        <f t="shared" si="46"/>
        <v>0</v>
      </c>
      <c r="AY47" s="279">
        <f t="shared" si="46"/>
        <v>76339027</v>
      </c>
      <c r="AZ47" s="611">
        <f t="shared" si="46"/>
        <v>3580065.87</v>
      </c>
      <c r="BA47" s="279">
        <f t="shared" si="46"/>
        <v>7520705.6200000001</v>
      </c>
      <c r="BB47" s="279">
        <f t="shared" si="46"/>
        <v>0</v>
      </c>
      <c r="BC47" s="279">
        <f>+BD47+BB47</f>
        <v>65238255.509999998</v>
      </c>
      <c r="BD47" s="373">
        <f>+BD48+BD54+BD60+BD68+BD76+BD81+BD85+BD89+BD104</f>
        <v>65238255.509999998</v>
      </c>
      <c r="BE47" s="584">
        <f>(AY47-BD47)/AY47</f>
        <v>0.14541410764902732</v>
      </c>
      <c r="BF47" s="279">
        <f t="shared" ref="BF47" si="47">+BF48+BF54+BF60+BF68+BF76+BF81+BF85+BF89+BF99+BF104</f>
        <v>47373535.460000001</v>
      </c>
      <c r="BG47" s="739">
        <f t="shared" ref="BG47:BG64" si="48">AZ47/AY47</f>
        <v>4.6896928225192078E-2</v>
      </c>
      <c r="BH47" s="1"/>
      <c r="BI47" s="703">
        <v>36040236.329999998</v>
      </c>
      <c r="BJ47" s="706">
        <f t="shared" si="4"/>
        <v>29198019.18</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0"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6"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6">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6">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6">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1"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5"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4">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4">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4">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4">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6">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91522.09</v>
      </c>
      <c r="BA60" s="68">
        <f t="shared" si="62"/>
        <v>1002405.86</v>
      </c>
      <c r="BB60" s="68">
        <f t="shared" si="62"/>
        <v>0</v>
      </c>
      <c r="BC60" s="68">
        <f>+BD60+BB60</f>
        <v>7769620.0499999989</v>
      </c>
      <c r="BD60" s="547">
        <f t="shared" si="62"/>
        <v>7769620.0499999989</v>
      </c>
      <c r="BE60" s="583">
        <f>(AY60-BD60)/AY60</f>
        <v>0.12341874269761964</v>
      </c>
      <c r="BF60" s="68">
        <f t="shared" ref="BF60" si="63">SUM(BF61:BF67)</f>
        <v>7758559.0499999998</v>
      </c>
      <c r="BG60" s="735">
        <f>AZ60/AY60</f>
        <v>1.0325672067212813E-2</v>
      </c>
      <c r="BH60" s="1"/>
      <c r="BI60" s="703">
        <v>4542161.7</v>
      </c>
      <c r="BJ60" s="706">
        <f t="shared" si="4"/>
        <v>3227458.3499999987</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90241.8</v>
      </c>
      <c r="BA61" s="62">
        <f>IFERROR(+VLOOKUP(A61,'Base de Datos'!$A$1:$H$75,6,0),0)</f>
        <v>999999.15</v>
      </c>
      <c r="BB61" s="62">
        <f>IFERROR(+VLOOKUP(A61,'Base de Datos'!$A$1:$H$75,8,0),0)</f>
        <v>0</v>
      </c>
      <c r="BC61" s="68">
        <f>+BD61+BB61</f>
        <v>7758559.0499999989</v>
      </c>
      <c r="BD61" s="548">
        <f t="shared" si="53"/>
        <v>7758559.0499999989</v>
      </c>
      <c r="BE61" s="622">
        <f t="shared" ref="BE61:BE63" si="64">IFERROR(((AY61-BD61)/AY61),0)</f>
        <v>0.123207773935449</v>
      </c>
      <c r="BF61" s="62">
        <f>IFERROR(+VLOOKUP(A61,'Base de Datos'!$A$1:$K$75,11,0),0)</f>
        <v>7758559.0499999998</v>
      </c>
      <c r="BG61" s="734">
        <f t="shared" ref="BG61:BG63" si="65">IFERROR(+(AZ61/AY61),0)</f>
        <v>1.0198196365608897E-2</v>
      </c>
      <c r="BI61" s="703">
        <v>4542161.7</v>
      </c>
      <c r="BJ61" s="706">
        <f t="shared" si="4"/>
        <v>3216397.3499999987</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4">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4">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6"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6" t="s">
        <v>0</v>
      </c>
      <c r="BI65" s="705"/>
      <c r="BJ65" s="706">
        <f t="shared" si="4"/>
        <v>0</v>
      </c>
    </row>
    <row r="66" spans="1:62" ht="15" customHeight="1" x14ac:dyDescent="0.25">
      <c r="A66" s="386" t="s">
        <v>662</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1280.29</v>
      </c>
      <c r="BA66" s="62">
        <f>IFERROR(+VLOOKUP(A66,'Base de Datos'!$A$1:$H$75,6,0),0)</f>
        <v>2406.71</v>
      </c>
      <c r="BB66" s="62"/>
      <c r="BC66" s="68">
        <f t="shared" si="52"/>
        <v>11061</v>
      </c>
      <c r="BD66" s="548">
        <f t="shared" si="53"/>
        <v>11061</v>
      </c>
      <c r="BE66" s="625">
        <f>(AY66-BD66)/AY66</f>
        <v>0.25</v>
      </c>
      <c r="BF66" s="62">
        <v>0</v>
      </c>
      <c r="BG66" s="736">
        <f>AZ66/AY66</f>
        <v>8.681109302956333E-2</v>
      </c>
      <c r="BI66" s="705"/>
      <c r="BJ66" s="706">
        <f t="shared" si="4"/>
        <v>11061</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6"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0</v>
      </c>
      <c r="AX68" s="66">
        <f t="shared" si="67"/>
        <v>0</v>
      </c>
      <c r="AY68" s="303">
        <f>SUM(AY69:AY75)</f>
        <v>47638800</v>
      </c>
      <c r="AZ68" s="613">
        <f t="shared" si="67"/>
        <v>1957250.4</v>
      </c>
      <c r="BA68" s="68">
        <f t="shared" si="67"/>
        <v>978628.39</v>
      </c>
      <c r="BB68" s="68">
        <f t="shared" si="67"/>
        <v>0</v>
      </c>
      <c r="BC68" s="68">
        <f>+BD68+BB68</f>
        <v>44702921.210000001</v>
      </c>
      <c r="BD68" s="547">
        <f t="shared" si="67"/>
        <v>44702921.210000001</v>
      </c>
      <c r="BE68" s="583">
        <f t="shared" ref="BE68:BE81" si="68">(AY68-BD68)/AY68</f>
        <v>6.162789134067187E-2</v>
      </c>
      <c r="BF68" s="68">
        <f t="shared" ref="BF68" si="69">SUM(BF69:BF75)</f>
        <v>39175131.210000001</v>
      </c>
      <c r="BG68" s="735">
        <f t="shared" ref="BG68:BG81" si="70">AZ68/AY68</f>
        <v>4.1085216252298544E-2</v>
      </c>
      <c r="BH68" s="1"/>
      <c r="BI68" s="703">
        <v>8977136.6300000008</v>
      </c>
      <c r="BJ68" s="706">
        <f t="shared" si="4"/>
        <v>35725784.579999998</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6"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6">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6">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v>69329701</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0</v>
      </c>
      <c r="BB72" s="62">
        <f>IFERROR(+VLOOKUP(A72,'Base de Datos'!$A$1:$H$75,8,0),0)</f>
        <v>0</v>
      </c>
      <c r="BC72" s="68">
        <f>+BD72+BB72</f>
        <v>35033220</v>
      </c>
      <c r="BD72" s="548">
        <f t="shared" si="53"/>
        <v>35033220</v>
      </c>
      <c r="BE72" s="622">
        <f t="shared" ref="BE72:BE75" si="73">IFERROR(((AY72-BD72)/AY72),0)</f>
        <v>0</v>
      </c>
      <c r="BF72" s="62">
        <f>IFERROR(+VLOOKUP(A72,'Base de Datos'!$A$1:$K$75,11,0),0)</f>
        <v>35033220</v>
      </c>
      <c r="BG72" s="734">
        <f t="shared" ref="BG72:BG75" si="74">IFERROR(+(AZ72/AY72),0)</f>
        <v>0</v>
      </c>
      <c r="BI72" s="705"/>
      <c r="BJ72" s="706">
        <f t="shared" si="4"/>
        <v>35033220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4">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62">
        <v>20000000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1957250.4</v>
      </c>
      <c r="BA74" s="62">
        <f>IFERROR(+VLOOKUP(A74,'Base de Datos'!$A$1:$H$75,6,0),0)</f>
        <v>978628.39</v>
      </c>
      <c r="BB74" s="62">
        <f>IFERROR(+VLOOKUP(A74,'Base de Datos'!$A$1:$H$75,8,0),0)</f>
        <v>0</v>
      </c>
      <c r="BC74" s="68">
        <f t="shared" ref="BC74:BC82" si="75">+BD74+BB74</f>
        <v>9669701.209999999</v>
      </c>
      <c r="BD74" s="548">
        <f>AY74-AZ74-BA74</f>
        <v>9669701.209999999</v>
      </c>
      <c r="BE74" s="622">
        <f t="shared" si="73"/>
        <v>0.23290311036858288</v>
      </c>
      <c r="BF74" s="62">
        <f>IFERROR(+VLOOKUP(A74,'Base de Datos'!$A$1:$K$75,11,0),0)</f>
        <v>4141911.21</v>
      </c>
      <c r="BG74" s="734">
        <f t="shared" si="74"/>
        <v>0.15526857153736678</v>
      </c>
      <c r="BI74" s="703">
        <v>8977136.6300000008</v>
      </c>
      <c r="BJ74" s="706">
        <f t="shared" si="4"/>
        <v>692564.57999999821</v>
      </c>
    </row>
    <row r="75" spans="1:62" ht="24" hidden="1"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0</v>
      </c>
      <c r="AL75" s="29">
        <v>0</v>
      </c>
      <c r="AM75" s="38">
        <v>0</v>
      </c>
      <c r="AN75" s="39"/>
      <c r="AO75" s="28">
        <v>0</v>
      </c>
      <c r="AP75" s="29">
        <v>0</v>
      </c>
      <c r="AQ75" s="38">
        <v>0</v>
      </c>
      <c r="AR75" s="39">
        <v>0</v>
      </c>
      <c r="AS75" s="28">
        <v>0</v>
      </c>
      <c r="AT75" s="29"/>
      <c r="AU75" s="21">
        <v>0</v>
      </c>
      <c r="AV75" s="38">
        <v>0</v>
      </c>
      <c r="AW75" s="55">
        <f>AI75+AK75+AM75+AO75+AQ75+AV75</f>
        <v>0</v>
      </c>
      <c r="AX75" s="618">
        <f t="shared" si="72"/>
        <v>0</v>
      </c>
      <c r="AY75" s="302">
        <f t="shared" si="71"/>
        <v>0</v>
      </c>
      <c r="AZ75" s="619">
        <f>IFERROR(+VLOOKUP(A75,'Base de Datos'!$A$1:$H$75,7,0),0)</f>
        <v>0</v>
      </c>
      <c r="BA75" s="62">
        <f>IFERROR(+VLOOKUP(A75,'Base de Datos'!$A$1:$H$75,6,0),0)</f>
        <v>0</v>
      </c>
      <c r="BB75" s="62">
        <f>IFERROR(+VLOOKUP(A75,'Base de Datos'!$A$1:$H$75,8,0),0)</f>
        <v>0</v>
      </c>
      <c r="BC75" s="68">
        <f t="shared" si="75"/>
        <v>0</v>
      </c>
      <c r="BD75" s="548">
        <f t="shared" si="53"/>
        <v>0</v>
      </c>
      <c r="BE75" s="622">
        <f t="shared" si="73"/>
        <v>0</v>
      </c>
      <c r="BF75" s="62">
        <f>IFERROR(+VLOOKUP(F75,'Base de Datos'!$A$1:$H$75,6,0),0)</f>
        <v>0</v>
      </c>
      <c r="BG75" s="734">
        <f t="shared" si="74"/>
        <v>0</v>
      </c>
      <c r="BI75" s="703">
        <v>0</v>
      </c>
      <c r="BJ75" s="706">
        <f t="shared" si="4"/>
        <v>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0</v>
      </c>
      <c r="AX76" s="66">
        <f t="shared" ref="AX76:BD76" si="77">SUM(AX77:AX80)</f>
        <v>0</v>
      </c>
      <c r="AY76" s="68">
        <f>SUM(AY77:AY80)</f>
        <v>8586679</v>
      </c>
      <c r="AZ76" s="613">
        <f t="shared" si="77"/>
        <v>400106.38</v>
      </c>
      <c r="BA76" s="300">
        <f t="shared" si="77"/>
        <v>974063.37</v>
      </c>
      <c r="BB76" s="300">
        <f t="shared" si="77"/>
        <v>0</v>
      </c>
      <c r="BC76" s="68">
        <f t="shared" si="75"/>
        <v>7212509.25</v>
      </c>
      <c r="BD76" s="547">
        <f t="shared" si="77"/>
        <v>7212509.25</v>
      </c>
      <c r="BE76" s="583">
        <f t="shared" si="68"/>
        <v>0.16003506710801696</v>
      </c>
      <c r="BF76" s="300">
        <f t="shared" ref="BF76" si="78">SUM(BF77:BF80)</f>
        <v>103139.25</v>
      </c>
      <c r="BG76" s="735">
        <f t="shared" si="70"/>
        <v>4.6596172979099369E-2</v>
      </c>
      <c r="BH76" s="1"/>
      <c r="BI76" s="703">
        <v>300000</v>
      </c>
      <c r="BJ76" s="706">
        <f t="shared" ref="BJ76:BJ139" si="79">+BD76-BI76</f>
        <v>6912509.25</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7770</v>
      </c>
      <c r="BA77" s="62">
        <f>IFERROR(+VLOOKUP(A77,'Base de Datos'!$A$1:$H$75,6,0),0)</f>
        <v>4520</v>
      </c>
      <c r="BB77" s="62">
        <f>IFERROR(+VLOOKUP(A77,'Base de Datos'!$A$1:$H$75,8,0),0)</f>
        <v>0</v>
      </c>
      <c r="BC77" s="68">
        <f t="shared" si="75"/>
        <v>36870</v>
      </c>
      <c r="BD77" s="548">
        <f t="shared" si="53"/>
        <v>36870</v>
      </c>
      <c r="BE77" s="622">
        <f t="shared" ref="BE77:BE80" si="80">IFERROR(((AY77-BD77)/AY77),0)</f>
        <v>0.25</v>
      </c>
      <c r="BF77" s="62">
        <f>IFERROR(+VLOOKUP(F77,'Base de Datos'!$A$1:$H$75,6,0),0)</f>
        <v>0</v>
      </c>
      <c r="BG77" s="734">
        <f t="shared" ref="BG77:BG80" si="81">IFERROR(+(AZ77/AY77),0)</f>
        <v>0.15805532953620829</v>
      </c>
      <c r="BI77" s="703">
        <v>50000</v>
      </c>
      <c r="BJ77" s="706">
        <f t="shared" si="79"/>
        <v>-13130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0</v>
      </c>
      <c r="AL78" s="29">
        <v>0</v>
      </c>
      <c r="AM78" s="38">
        <v>0</v>
      </c>
      <c r="AN78" s="39"/>
      <c r="AO78" s="28">
        <v>0</v>
      </c>
      <c r="AP78" s="29">
        <v>0</v>
      </c>
      <c r="AQ78" s="38">
        <v>0</v>
      </c>
      <c r="AR78" s="39"/>
      <c r="AS78" s="28">
        <v>0</v>
      </c>
      <c r="AT78" s="29">
        <v>0</v>
      </c>
      <c r="AU78" s="21">
        <v>0</v>
      </c>
      <c r="AV78" s="38"/>
      <c r="AW78" s="55">
        <f>AI78+AK78+AM78+AO78+AQ78+AS78+AV78</f>
        <v>0</v>
      </c>
      <c r="AX78" s="618">
        <f>AJ78+AL78+AN78+AP78+AR78+AT78+AU78</f>
        <v>0</v>
      </c>
      <c r="AY78" s="345">
        <f>AB78+AW78-AX78</f>
        <v>537519</v>
      </c>
      <c r="AZ78" s="619">
        <f>IFERROR(+VLOOKUP(A78,'Base de Datos'!$A$1:$H$75,7,0),0)</f>
        <v>287400</v>
      </c>
      <c r="BA78" s="62">
        <f>IFERROR(+VLOOKUP(A78,'Base de Datos'!$A$1:$H$75,6,0),0)</f>
        <v>146979.75</v>
      </c>
      <c r="BB78" s="62">
        <f>IFERROR(+VLOOKUP(A78,'Base de Datos'!$A$1:$H$75,8,0),0)</f>
        <v>0</v>
      </c>
      <c r="BC78" s="68">
        <f t="shared" si="75"/>
        <v>103139.25</v>
      </c>
      <c r="BD78" s="548">
        <f t="shared" si="53"/>
        <v>103139.25</v>
      </c>
      <c r="BE78" s="622">
        <f t="shared" si="80"/>
        <v>0.8081198059975554</v>
      </c>
      <c r="BF78" s="62">
        <f>IFERROR(+VLOOKUP(A78,'Base de Datos'!$A$1:$K$75,11,0),0)</f>
        <v>103139.25</v>
      </c>
      <c r="BG78" s="734">
        <f t="shared" si="81"/>
        <v>0.53467877414565812</v>
      </c>
      <c r="BI78" s="703">
        <v>250000</v>
      </c>
      <c r="BJ78" s="706">
        <f t="shared" si="79"/>
        <v>-146860.75</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0</v>
      </c>
      <c r="BB79" s="62">
        <f>IFERROR(+VLOOKUP(A79,'Base de Datos'!$A$1:$H$75,8,0),0)</f>
        <v>0</v>
      </c>
      <c r="BC79" s="68">
        <f t="shared" si="75"/>
        <v>4000000</v>
      </c>
      <c r="BD79" s="548">
        <f t="shared" si="53"/>
        <v>4000000</v>
      </c>
      <c r="BE79" s="622">
        <f t="shared" si="80"/>
        <v>0</v>
      </c>
      <c r="BF79" s="62">
        <f>IFERROR(+VLOOKUP(F79,'Base de Datos'!$A$1:$H$75,6,0),0)</f>
        <v>0</v>
      </c>
      <c r="BG79" s="734">
        <f t="shared" si="81"/>
        <v>0</v>
      </c>
      <c r="BI79" s="705"/>
      <c r="BJ79" s="706">
        <f t="shared" si="79"/>
        <v>4000000</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104936.38</v>
      </c>
      <c r="BA80" s="62">
        <f>IFERROR(+VLOOKUP(A80,'Base de Datos'!$A$1:$H$75,6,0),0)</f>
        <v>822563.62</v>
      </c>
      <c r="BB80" s="62">
        <f>IFERROR(+VLOOKUP(A80,'Base de Datos'!$A$1:$H$75,8,0),0)</f>
        <v>0</v>
      </c>
      <c r="BC80" s="68">
        <f t="shared" si="75"/>
        <v>3072500</v>
      </c>
      <c r="BD80" s="548">
        <f t="shared" si="53"/>
        <v>3072500</v>
      </c>
      <c r="BE80" s="622">
        <f t="shared" si="80"/>
        <v>0.231875</v>
      </c>
      <c r="BF80" s="62">
        <f>IFERROR(+VLOOKUP(F80,'Base de Datos'!$A$1:$H$75,6,0),0)</f>
        <v>0</v>
      </c>
      <c r="BG80" s="734">
        <f t="shared" si="81"/>
        <v>2.6234095000000002E-2</v>
      </c>
      <c r="BI80" s="705"/>
      <c r="BJ80" s="706">
        <f t="shared" si="79"/>
        <v>3072500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0</v>
      </c>
      <c r="AY81" s="68">
        <f>SUM(AY82:AY84)</f>
        <v>9000000</v>
      </c>
      <c r="AZ81" s="613">
        <f t="shared" si="84"/>
        <v>1131187</v>
      </c>
      <c r="BA81" s="68">
        <f t="shared" si="84"/>
        <v>4565608</v>
      </c>
      <c r="BB81" s="68">
        <f t="shared" ref="BB81" si="85">SUM(BB82:BB84)</f>
        <v>0</v>
      </c>
      <c r="BC81" s="68">
        <f t="shared" si="75"/>
        <v>3303205</v>
      </c>
      <c r="BD81" s="547">
        <f t="shared" si="84"/>
        <v>3303205</v>
      </c>
      <c r="BE81" s="583">
        <f t="shared" si="68"/>
        <v>0.63297722222222219</v>
      </c>
      <c r="BF81" s="68">
        <f t="shared" ref="BF81" si="86">SUM(BF82:BF84)</f>
        <v>336705.95</v>
      </c>
      <c r="BG81" s="735">
        <f t="shared" si="70"/>
        <v>0.12568744444444443</v>
      </c>
      <c r="BH81" s="1"/>
      <c r="BI81" s="703">
        <v>1928138</v>
      </c>
      <c r="BJ81" s="706">
        <f t="shared" si="79"/>
        <v>1375067</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0</v>
      </c>
      <c r="AM82" s="38">
        <v>0</v>
      </c>
      <c r="AN82" s="39"/>
      <c r="AO82" s="28">
        <v>0</v>
      </c>
      <c r="AP82" s="29">
        <v>0</v>
      </c>
      <c r="AQ82" s="38">
        <v>0</v>
      </c>
      <c r="AR82" s="39"/>
      <c r="AS82" s="28">
        <v>0</v>
      </c>
      <c r="AT82" s="29">
        <v>0</v>
      </c>
      <c r="AU82" s="21"/>
      <c r="AV82" s="38">
        <v>0</v>
      </c>
      <c r="AW82" s="55">
        <f>AI82+AK82+AM82+AO82+AQ82+AS82+AV82</f>
        <v>0</v>
      </c>
      <c r="AX82" s="618">
        <f>AJ82+AL82+AN82+AP82+AR82+AT82+AU82</f>
        <v>0</v>
      </c>
      <c r="AY82" s="302">
        <f>AB82+AW82-AX82</f>
        <v>9000000</v>
      </c>
      <c r="AZ82" s="619">
        <f>IFERROR(+VLOOKUP(A82,'Base de Datos'!$A$1:$H$75,7,0),0)</f>
        <v>1131187</v>
      </c>
      <c r="BA82" s="62">
        <f>IFERROR(+VLOOKUP(A82,'Base de Datos'!$A$1:$H$75,6,0),0)</f>
        <v>4565608</v>
      </c>
      <c r="BB82" s="62">
        <f>IFERROR(+VLOOKUP(A82,'Base de Datos'!$A$1:$H$75,8,0),0)</f>
        <v>0</v>
      </c>
      <c r="BC82" s="68">
        <f t="shared" si="75"/>
        <v>3303205</v>
      </c>
      <c r="BD82" s="548">
        <f t="shared" si="53"/>
        <v>3303205</v>
      </c>
      <c r="BE82" s="622">
        <f>IFERROR(((AY82-BD82)/AY82),0)</f>
        <v>0.63297722222222219</v>
      </c>
      <c r="BF82" s="62">
        <f>IFERROR(+VLOOKUP(A82,'Base de Datos'!$A$1:$K$75,11,0),0)</f>
        <v>336705.95</v>
      </c>
      <c r="BG82" s="734">
        <f t="shared" ref="BG82" si="87">IFERROR(+(AZ82/AY82),0)</f>
        <v>0.12568744444444443</v>
      </c>
      <c r="BI82" s="703">
        <v>1928138</v>
      </c>
      <c r="BJ82" s="706">
        <f t="shared" si="79"/>
        <v>1375067</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6"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6"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5"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4">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4">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4">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0</v>
      </c>
      <c r="BB89" s="68">
        <f t="shared" ref="BB89" si="99">SUM(BB90:BB98)</f>
        <v>0</v>
      </c>
      <c r="BC89" s="68">
        <f>+BD89+BB89</f>
        <v>1900000</v>
      </c>
      <c r="BD89" s="547">
        <f>SUM(BD90:BD98)</f>
        <v>1900000</v>
      </c>
      <c r="BE89" s="583">
        <v>0</v>
      </c>
      <c r="BF89" s="68">
        <f t="shared" ref="BF89" si="100">SUM(BF90:BF98)</f>
        <v>0</v>
      </c>
      <c r="BG89" s="735">
        <f t="shared" si="93"/>
        <v>0</v>
      </c>
      <c r="BH89" s="1"/>
      <c r="BI89" s="703">
        <v>0</v>
      </c>
      <c r="BJ89" s="706">
        <f t="shared" si="79"/>
        <v>1900000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6"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6"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6"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6"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0</v>
      </c>
      <c r="BB94" s="62">
        <f>IFERROR(+VLOOKUP(A94,'Base de Datos'!$A$1:$H$75,8,0),0)</f>
        <v>0</v>
      </c>
      <c r="BC94" s="68">
        <f>+BD94+BB94</f>
        <v>1900000</v>
      </c>
      <c r="BD94" s="548">
        <f t="shared" si="53"/>
        <v>1900000</v>
      </c>
      <c r="BE94" s="622">
        <f t="shared" ref="BE94:BE103" si="103">IFERROR(((AY94-BD94)/AY94),0)</f>
        <v>0</v>
      </c>
      <c r="BF94" s="62">
        <f>IFERROR(+VLOOKUP(F94,'Base de Datos'!$A$1:$H$75,6,0),0)</f>
        <v>0</v>
      </c>
      <c r="BG94" s="734">
        <f t="shared" ref="BG94:BG103" si="104">IFERROR(+(AZ94/AY94),0)</f>
        <v>0</v>
      </c>
      <c r="BI94" s="705"/>
      <c r="BJ94" s="706">
        <f t="shared" si="79"/>
        <v>1900000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4">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4">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4">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4">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2">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4">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4">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4">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4">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5">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6">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4">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4">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4">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4">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4">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0</v>
      </c>
      <c r="AL111" s="370">
        <f t="shared" si="115"/>
        <v>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0</v>
      </c>
      <c r="AX111" s="611">
        <f t="shared" si="116"/>
        <v>0</v>
      </c>
      <c r="AY111" s="279">
        <f>+AY112+AY118+AY123+AY131+AY134+AY139</f>
        <v>1933200</v>
      </c>
      <c r="AZ111" s="611">
        <f>+AZ112+AZ118+AZ123+AZ131+AZ134+AZ139</f>
        <v>80000</v>
      </c>
      <c r="BA111" s="279">
        <f>+BA112+BA118+BA123+BA131+BA134+BA139</f>
        <v>165800</v>
      </c>
      <c r="BB111" s="279">
        <f>+BB112+BB118+BB123+BB131+BB134+BB139</f>
        <v>0</v>
      </c>
      <c r="BC111" s="279">
        <f>+BD111+BB111</f>
        <v>1687400</v>
      </c>
      <c r="BD111" s="373">
        <f t="shared" si="116"/>
        <v>1687400</v>
      </c>
      <c r="BE111" s="644">
        <f>(AY111-BD111)/AY111</f>
        <v>0.12714669977239809</v>
      </c>
      <c r="BF111" s="279">
        <f>+BF112+BF118+BF123+BF131+BF134+BF139</f>
        <v>245800</v>
      </c>
      <c r="BG111" s="743">
        <f t="shared" ref="BG111:BG112" si="117">AZ111/AY111</f>
        <v>4.138216428719222E-2</v>
      </c>
      <c r="BH111" s="1"/>
      <c r="BI111" s="703">
        <v>1477500</v>
      </c>
      <c r="BJ111" s="706">
        <f t="shared" si="79"/>
        <v>209900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0</v>
      </c>
      <c r="AX112" s="66">
        <f t="shared" si="119"/>
        <v>0</v>
      </c>
      <c r="AY112" s="68">
        <f>SUM(AY113:AY117)</f>
        <v>983200</v>
      </c>
      <c r="AZ112" s="613">
        <f t="shared" si="119"/>
        <v>80000</v>
      </c>
      <c r="BA112" s="68">
        <f t="shared" si="119"/>
        <v>165800</v>
      </c>
      <c r="BB112" s="68">
        <f t="shared" ref="BB112" si="120">SUM(BB113:BB117)</f>
        <v>0</v>
      </c>
      <c r="BC112" s="68">
        <f>+BD112+BB112</f>
        <v>737400</v>
      </c>
      <c r="BD112" s="547">
        <f t="shared" si="119"/>
        <v>737400</v>
      </c>
      <c r="BE112" s="583">
        <f>(AY112-BD112)/AY112</f>
        <v>0.25</v>
      </c>
      <c r="BF112" s="68">
        <f t="shared" ref="BF112" si="121">SUM(BF113:BF117)</f>
        <v>245800</v>
      </c>
      <c r="BG112" s="735">
        <f t="shared" si="117"/>
        <v>8.1366965012205042E-2</v>
      </c>
      <c r="BH112" s="1"/>
      <c r="BI112" s="703">
        <v>408500</v>
      </c>
      <c r="BJ112" s="706">
        <f t="shared" si="79"/>
        <v>328900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0</v>
      </c>
      <c r="AL113" s="29">
        <v>0</v>
      </c>
      <c r="AM113" s="38"/>
      <c r="AN113" s="39"/>
      <c r="AO113" s="28">
        <v>0</v>
      </c>
      <c r="AP113" s="29">
        <v>0</v>
      </c>
      <c r="AQ113" s="38">
        <v>0</v>
      </c>
      <c r="AR113" s="39">
        <v>0</v>
      </c>
      <c r="AS113" s="28">
        <v>0</v>
      </c>
      <c r="AT113" s="29"/>
      <c r="AU113" s="21">
        <v>0</v>
      </c>
      <c r="AV113" s="38">
        <v>0</v>
      </c>
      <c r="AW113" s="55">
        <f>AI113+AK113+AM113+AO113+AQ113+AS113+AV113</f>
        <v>0</v>
      </c>
      <c r="AX113" s="618">
        <f>AJ113+AL113+AN113+AP113+AR113+AT113+AU113</f>
        <v>0</v>
      </c>
      <c r="AY113" s="345">
        <f t="shared" ref="AY113:AY147" si="123">AB113+AW113-AX113</f>
        <v>983200</v>
      </c>
      <c r="AZ113" s="619">
        <f>IFERROR(+VLOOKUP(A113,'Base de Datos'!$A$1:$H$75,7,0),0)</f>
        <v>80000</v>
      </c>
      <c r="BA113" s="62">
        <f>IFERROR(+VLOOKUP(A113,'Base de Datos'!$A$1:$H$75,6,0),0)</f>
        <v>165800</v>
      </c>
      <c r="BB113" s="62">
        <f>IFERROR(+VLOOKUP(A113,'Base de Datos'!$A$1:$H$75,8,0),0)</f>
        <v>0</v>
      </c>
      <c r="BC113" s="68">
        <f>+BD113+BB113</f>
        <v>737400</v>
      </c>
      <c r="BD113" s="548">
        <f t="shared" ref="BD113:BD147" si="124">AY113-AZ113-BA113</f>
        <v>737400</v>
      </c>
      <c r="BE113" s="622">
        <f t="shared" ref="BE113:BE116" si="125">IFERROR(((AY113-BD113)/AY113),0)</f>
        <v>0.25</v>
      </c>
      <c r="BF113" s="62">
        <f>IFERROR(+VLOOKUP(A113,'Base de Datos'!$A$1:$K$75,11,0),0)</f>
        <v>245800</v>
      </c>
      <c r="BG113" s="734">
        <f t="shared" ref="BG113:BG116" si="126">IFERROR(+(AZ113/AY113),0)</f>
        <v>8.1366965012205042E-2</v>
      </c>
      <c r="BI113" s="703">
        <v>108500</v>
      </c>
      <c r="BJ113" s="706">
        <f t="shared" si="79"/>
        <v>628900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4">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4">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4">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6"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5"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6"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6">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4">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6"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0</v>
      </c>
      <c r="AY123" s="69">
        <f>SUM(AY124:AY130)</f>
        <v>950000</v>
      </c>
      <c r="AZ123" s="646">
        <f t="shared" si="134"/>
        <v>0</v>
      </c>
      <c r="BA123" s="69">
        <f t="shared" si="134"/>
        <v>0</v>
      </c>
      <c r="BB123" s="69">
        <f t="shared" ref="BB123" si="135">SUM(BB124:BB130)</f>
        <v>0</v>
      </c>
      <c r="BC123" s="68">
        <f>+BD123+BB123</f>
        <v>950000</v>
      </c>
      <c r="BD123" s="550">
        <f t="shared" si="134"/>
        <v>950000</v>
      </c>
      <c r="BE123" s="634">
        <f>(AY123-BD123)/AY123</f>
        <v>0</v>
      </c>
      <c r="BF123" s="69">
        <f t="shared" ref="BF123" si="136">SUM(BF124:BF130)</f>
        <v>0</v>
      </c>
      <c r="BG123" s="736">
        <f>AZ123/AY123</f>
        <v>0</v>
      </c>
      <c r="BI123" s="705"/>
      <c r="BJ123" s="706">
        <f t="shared" si="79"/>
        <v>950000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4">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4">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4">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0</v>
      </c>
      <c r="AY127" s="345">
        <f t="shared" si="123"/>
        <v>950000</v>
      </c>
      <c r="AZ127" s="619">
        <f>IFERROR(+VLOOKUP(A127,'Base de Datos'!$A$1:$H$75,7,0),0)</f>
        <v>0</v>
      </c>
      <c r="BA127" s="62">
        <f>IFERROR(+VLOOKUP(A127,'Base de Datos'!$A$1:$H$75,6,0),0)</f>
        <v>0</v>
      </c>
      <c r="BB127" s="62">
        <f>IFERROR(+VLOOKUP(A127,'Base de Datos'!$A$1:$H$75,8,0),0)</f>
        <v>0</v>
      </c>
      <c r="BC127" s="68">
        <f>+BD127+BB127</f>
        <v>950000</v>
      </c>
      <c r="BD127" s="548">
        <f t="shared" si="124"/>
        <v>950000</v>
      </c>
      <c r="BE127" s="622">
        <f t="shared" si="137"/>
        <v>0</v>
      </c>
      <c r="BF127" s="62">
        <f>IFERROR(+VLOOKUP(F127,'Base de Datos'!$A$1:$H$75,6,0),0)</f>
        <v>0</v>
      </c>
      <c r="BG127" s="734">
        <f t="shared" si="138"/>
        <v>0</v>
      </c>
      <c r="BI127" s="705"/>
      <c r="BJ127" s="706">
        <f t="shared" si="79"/>
        <v>950000</v>
      </c>
      <c r="BK127" s="763">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6"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6"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6"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5"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4">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4">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6"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6"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6"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6"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6"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5"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4">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4">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4">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4">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4">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4">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4">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4">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3"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3"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3"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3"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3"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3"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3"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3"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3"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3"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3"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3"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3"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3"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3"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3"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3"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3"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3"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3"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3"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3"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3"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3"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3"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3"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3"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3"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3"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3"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3"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3"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3"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3"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3"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3"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3"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3"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3"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3"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3"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3"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3"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3"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3"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3"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39"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4"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6">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6">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4">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4">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4">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4">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4">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4">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4">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5">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6">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6">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6">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6">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6">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6">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6">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6">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5">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6">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6">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6">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5">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6">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6">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6">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6">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0</v>
      </c>
      <c r="AJ223" s="370">
        <f t="shared" ref="AJ223:AV223" si="205">+AJ224+AJ236+AJ241+AJ248+AJ253+AJ255+AJ258</f>
        <v>0</v>
      </c>
      <c r="AK223" s="395">
        <f t="shared" si="205"/>
        <v>0</v>
      </c>
      <c r="AL223" s="396">
        <f t="shared" si="205"/>
        <v>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0</v>
      </c>
      <c r="AX223" s="611">
        <f t="shared" si="206"/>
        <v>0</v>
      </c>
      <c r="AY223" s="279">
        <f>+AY224+AY236+AY241+AY248+AY253+AY255+AY258</f>
        <v>170101680</v>
      </c>
      <c r="AZ223" s="611">
        <f t="shared" si="206"/>
        <v>111480538.05</v>
      </c>
      <c r="BA223" s="279">
        <f t="shared" si="206"/>
        <v>19168954</v>
      </c>
      <c r="BB223" s="279">
        <f t="shared" ref="BB223" si="207">+BB224+BB236+BB241+BB248+BB253+BB255+BB258</f>
        <v>0</v>
      </c>
      <c r="BC223" s="279">
        <f>+BD223+BB223</f>
        <v>39452187.950000003</v>
      </c>
      <c r="BD223" s="373">
        <f>+BD224+BD236+BD241+BD248+BD253+BD255+BD258</f>
        <v>39452187.950000003</v>
      </c>
      <c r="BE223" s="587">
        <f>(AY223-BD223)/AY223</f>
        <v>0.76806702937913374</v>
      </c>
      <c r="BF223" s="279">
        <f t="shared" ref="BF223" si="208">+BF224+BF236+BF241+BF248+BF253+BF255+BF258</f>
        <v>28396548.75</v>
      </c>
      <c r="BG223" s="747">
        <f>AZ223/AY223</f>
        <v>0.65537587900366412</v>
      </c>
      <c r="BH223" s="1"/>
      <c r="BI223" s="703">
        <v>16011443.48</v>
      </c>
      <c r="BJ223" s="706">
        <f t="shared" si="193"/>
        <v>23440744.470000003</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0</v>
      </c>
      <c r="AK224" s="47">
        <f t="shared" ref="AK224:AV224" si="209">SUM(AK225:AK235)</f>
        <v>0</v>
      </c>
      <c r="AL224" s="48">
        <f t="shared" si="209"/>
        <v>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0</v>
      </c>
      <c r="AY224" s="68">
        <f>SUM(AY228:AY231)</f>
        <v>23871751</v>
      </c>
      <c r="AZ224" s="619">
        <f t="shared" si="210"/>
        <v>5597545.0499999998</v>
      </c>
      <c r="BA224" s="68">
        <f>SUM(BA225:BA235)</f>
        <v>15502454.949999999</v>
      </c>
      <c r="BB224" s="68">
        <f>SUM(BB225:BB235)</f>
        <v>0</v>
      </c>
      <c r="BC224" s="68">
        <f>+BD224+BB224</f>
        <v>2771751.0000000005</v>
      </c>
      <c r="BD224" s="547">
        <f t="shared" si="210"/>
        <v>2771751.0000000005</v>
      </c>
      <c r="BE224" s="586">
        <f>(AY224-BD224)/AY224</f>
        <v>0.88388991657964255</v>
      </c>
      <c r="BF224" s="68">
        <f>SUM(BF225:BF235)</f>
        <v>2049439</v>
      </c>
      <c r="BG224" s="748">
        <f>AZ224/AY224</f>
        <v>0.23448405816565362</v>
      </c>
      <c r="BH224" s="1"/>
      <c r="BI224" s="712">
        <v>0</v>
      </c>
      <c r="BJ224" s="706">
        <f t="shared" si="193"/>
        <v>2771751.0000000005</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6">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6">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6">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0</v>
      </c>
      <c r="AK228" s="28">
        <v>0</v>
      </c>
      <c r="AL228" s="29">
        <v>0</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0</v>
      </c>
      <c r="AY228" s="349">
        <f>AB228+AW228-AX228</f>
        <v>20592664</v>
      </c>
      <c r="AZ228" s="619">
        <f>IFERROR(+VLOOKUP(A228,'Base de Datos'!$A$1:$H$75,7,0),0)</f>
        <v>4792515.08</v>
      </c>
      <c r="BA228" s="62">
        <f>IFERROR(+VLOOKUP(A228,'Base de Datos'!$A$1:$H$75,6,0),0)</f>
        <v>13207484.92</v>
      </c>
      <c r="BB228" s="62">
        <f>IFERROR(+VLOOKUP(A228,'Base de Datos'!$A$1:$H$75,8,0),0)</f>
        <v>0</v>
      </c>
      <c r="BC228" s="68">
        <f>+BD228+BB228</f>
        <v>2592664</v>
      </c>
      <c r="BD228" s="548">
        <f>AY228-AZ228-BA228</f>
        <v>2592664</v>
      </c>
      <c r="BE228" s="622">
        <f t="shared" ref="BE228:BE229" si="215">IFERROR(((AY228-BD228)/AY228),0)</f>
        <v>0.8740976883806777</v>
      </c>
      <c r="BF228" s="62">
        <f>IFERROR(+VLOOKUP(A228,'Base de Datos'!$A$1:$K$75,11,0),0)</f>
        <v>1969571</v>
      </c>
      <c r="BG228" s="734">
        <f t="shared" ref="BG228:BG229" si="216">IFERROR(+(AZ228/AY228),0)</f>
        <v>0.23272924183097438</v>
      </c>
      <c r="BI228" s="705">
        <v>0</v>
      </c>
      <c r="BJ228" s="706">
        <f t="shared" si="193"/>
        <v>2592664</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0</v>
      </c>
      <c r="AK229" s="28">
        <v>0</v>
      </c>
      <c r="AL229" s="29">
        <v>0</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0</v>
      </c>
      <c r="AY229" s="345">
        <f>AB229+AW229-AX229</f>
        <v>3279087</v>
      </c>
      <c r="AZ229" s="619">
        <f>IFERROR(+VLOOKUP(A229,'Base de Datos'!$A$1:$H$75,7,0),0)</f>
        <v>805029.97</v>
      </c>
      <c r="BA229" s="62">
        <f>IFERROR(+VLOOKUP(A229,'Base de Datos'!$A$1:$H$75,6,0),0)</f>
        <v>2294970.0299999998</v>
      </c>
      <c r="BB229" s="62">
        <f>IFERROR(+VLOOKUP(A229,'Base de Datos'!$A$1:$H$75,8,0),0)</f>
        <v>0</v>
      </c>
      <c r="BC229" s="68">
        <f>+BD229+BB229</f>
        <v>179087.00000000047</v>
      </c>
      <c r="BD229" s="548">
        <f t="shared" si="213"/>
        <v>179087.00000000047</v>
      </c>
      <c r="BE229" s="622">
        <f t="shared" si="215"/>
        <v>0.94538510262155273</v>
      </c>
      <c r="BF229" s="62">
        <f>IFERROR(+VLOOKUP(A229,'Base de Datos'!$A$1:$K$75,11,0),0)</f>
        <v>79868</v>
      </c>
      <c r="BG229" s="734">
        <f t="shared" si="216"/>
        <v>0.24550430348447599</v>
      </c>
      <c r="BI229" s="705">
        <v>0</v>
      </c>
      <c r="BJ229" s="706">
        <f t="shared" si="193"/>
        <v>179087.00000000047</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6"/>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6"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6"/>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6"/>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6"/>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6"/>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6">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6">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6">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6">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6">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0</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0</v>
      </c>
      <c r="AX241" s="66">
        <f t="shared" si="223"/>
        <v>0</v>
      </c>
      <c r="AY241" s="68">
        <f>SUM(AY242:AY247)</f>
        <v>41874064</v>
      </c>
      <c r="AZ241" s="613">
        <f t="shared" si="223"/>
        <v>1527128</v>
      </c>
      <c r="BA241" s="68">
        <f t="shared" si="223"/>
        <v>3666499.05</v>
      </c>
      <c r="BB241" s="68">
        <f t="shared" ref="BB241" si="224">SUM(BB242:BB247)</f>
        <v>0</v>
      </c>
      <c r="BC241" s="68">
        <f>+BD241+BB241</f>
        <v>36680436.950000003</v>
      </c>
      <c r="BD241" s="547">
        <f t="shared" si="223"/>
        <v>36680436.950000003</v>
      </c>
      <c r="BE241" s="583">
        <f>(AY241-BD241)/AY241</f>
        <v>0.12402968696804774</v>
      </c>
      <c r="BF241" s="68">
        <f t="shared" ref="BF241" si="225">SUM(BF242:BF247)</f>
        <v>26347109.75</v>
      </c>
      <c r="BG241" s="735">
        <f t="shared" ref="BG241" si="226">AZ241/AY241</f>
        <v>3.6469543534155179E-2</v>
      </c>
      <c r="BH241" s="1"/>
      <c r="BI241" s="703">
        <v>8816443.4800000004</v>
      </c>
      <c r="BJ241" s="706">
        <f t="shared" si="193"/>
        <v>27863993.470000003</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0</v>
      </c>
      <c r="BA242" s="62">
        <f>IFERROR(+VLOOKUP(A242,'Base de Datos'!$A$1:$H$75,6,0),0)</f>
        <v>3666499.05</v>
      </c>
      <c r="BB242" s="62">
        <f>IFERROR(+VLOOKUP(A242,'Base de Datos'!$A$1:$H$75,8,0),0)</f>
        <v>0</v>
      </c>
      <c r="BC242" s="68">
        <f>+BD242+BB242</f>
        <v>32289567.949999999</v>
      </c>
      <c r="BD242" s="547">
        <f t="shared" si="213"/>
        <v>32289567.949999999</v>
      </c>
      <c r="BE242" s="622">
        <f t="shared" ref="BE242:BE247" si="228">IFERROR(((AY242-BD242)/AY242),0)</f>
        <v>0.10197163805485179</v>
      </c>
      <c r="BF242" s="62">
        <f>IFERROR(+VLOOKUP(A242,'Base de Datos'!$A$1:$K$75,11,0),0)</f>
        <v>21956240.75</v>
      </c>
      <c r="BG242" s="734">
        <f t="shared" ref="BG242:BG247" si="229">IFERROR(+(AZ242/AY242),0)</f>
        <v>0</v>
      </c>
      <c r="BI242" s="703">
        <v>4016796.48</v>
      </c>
      <c r="BJ242" s="706">
        <f t="shared" si="193"/>
        <v>28272771.469999999</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4">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4">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4">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4">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0</v>
      </c>
      <c r="AL247" s="29">
        <v>0</v>
      </c>
      <c r="AM247" s="38"/>
      <c r="AN247" s="39">
        <v>0</v>
      </c>
      <c r="AO247" s="28">
        <v>0</v>
      </c>
      <c r="AP247" s="29">
        <v>0</v>
      </c>
      <c r="AQ247" s="38">
        <v>0</v>
      </c>
      <c r="AR247" s="39">
        <v>0</v>
      </c>
      <c r="AS247" s="28">
        <v>0</v>
      </c>
      <c r="AT247" s="29">
        <v>0</v>
      </c>
      <c r="AU247" s="21">
        <v>0</v>
      </c>
      <c r="AV247" s="38">
        <v>0</v>
      </c>
      <c r="AW247" s="55">
        <f>AI247+AK247+AM247+AO247+AQ247+AS247+AV247</f>
        <v>0</v>
      </c>
      <c r="AX247" s="618">
        <f t="shared" si="227"/>
        <v>0</v>
      </c>
      <c r="AY247" s="62">
        <f>AH247+AW247-AX247</f>
        <v>5917997</v>
      </c>
      <c r="AZ247" s="619">
        <f>IFERROR(+VLOOKUP(A247,'Base de Datos'!$A$1:$H$75,7,0),0)</f>
        <v>1527128</v>
      </c>
      <c r="BA247" s="62">
        <f>IFERROR(+VLOOKUP(A247,'Base de Datos'!$A$1:$H$75,6,0),0)</f>
        <v>0</v>
      </c>
      <c r="BB247" s="62">
        <f>IFERROR(+VLOOKUP(A247,'Base de Datos'!$A$1:$H$75,8,0),0)</f>
        <v>0</v>
      </c>
      <c r="BC247" s="68">
        <f>+BD247+BB247</f>
        <v>4390869</v>
      </c>
      <c r="BD247" s="548">
        <f t="shared" si="213"/>
        <v>4390869</v>
      </c>
      <c r="BE247" s="622">
        <f t="shared" si="228"/>
        <v>0.25804811999735722</v>
      </c>
      <c r="BF247" s="62">
        <f>IFERROR(+VLOOKUP(A247,'Base de Datos'!$A$1:$K$75,11,0),0)</f>
        <v>4390869</v>
      </c>
      <c r="BG247" s="734">
        <f t="shared" si="229"/>
        <v>0.25804811999735722</v>
      </c>
      <c r="BI247" s="703">
        <v>4799647</v>
      </c>
      <c r="BJ247" s="706">
        <f t="shared" si="193"/>
        <v>-408778</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6">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6">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6">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6">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6"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6"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6"/>
      <c r="BI254" s="705"/>
      <c r="BJ254" s="706">
        <f t="shared" si="193"/>
        <v>0</v>
      </c>
    </row>
    <row r="255" spans="1:62" s="42" customFormat="1" ht="10.95" hidden="1"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0</v>
      </c>
      <c r="AJ255" s="46">
        <f t="shared" ref="AJ255:AV255" si="233">+AJ256+AJ257</f>
        <v>0</v>
      </c>
      <c r="AK255" s="47">
        <f t="shared" si="233"/>
        <v>0</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0</v>
      </c>
      <c r="AX255" s="66">
        <f t="shared" si="234"/>
        <v>0</v>
      </c>
      <c r="AY255" s="68">
        <f>+AY256+AY257</f>
        <v>0</v>
      </c>
      <c r="AZ255" s="613"/>
      <c r="BA255" s="68">
        <f t="shared" si="234"/>
        <v>0</v>
      </c>
      <c r="BB255" s="68">
        <f t="shared" ref="BB255" si="235">+BB256+BB257</f>
        <v>0</v>
      </c>
      <c r="BC255" s="68">
        <f>+BD255+BB255</f>
        <v>0</v>
      </c>
      <c r="BD255" s="547">
        <f t="shared" si="234"/>
        <v>0</v>
      </c>
      <c r="BE255" s="588">
        <f t="shared" ref="BE255" si="236">IFERROR(((AY255-BD255)/AY255),0)</f>
        <v>0</v>
      </c>
      <c r="BF255" s="68">
        <f t="shared" ref="BF255" si="237">+BF256+BF257</f>
        <v>0</v>
      </c>
      <c r="BG255" s="742">
        <f t="shared" ref="BG255" si="238">IFERROR(+(AZ255/AY255),0)</f>
        <v>0</v>
      </c>
      <c r="BH255" s="1"/>
      <c r="BI255" s="712"/>
      <c r="BJ255" s="706">
        <f t="shared" si="193"/>
        <v>0</v>
      </c>
    </row>
    <row r="256" spans="1:62" ht="18.600000000000001" hidden="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0</v>
      </c>
      <c r="AJ256" s="39">
        <v>0</v>
      </c>
      <c r="AK256" s="28">
        <v>0</v>
      </c>
      <c r="AL256" s="29">
        <v>0</v>
      </c>
      <c r="AM256" s="38">
        <v>0</v>
      </c>
      <c r="AN256" s="39">
        <v>0</v>
      </c>
      <c r="AO256" s="28">
        <v>0</v>
      </c>
      <c r="AP256" s="29">
        <v>0</v>
      </c>
      <c r="AQ256" s="38">
        <v>0</v>
      </c>
      <c r="AR256" s="39">
        <v>0</v>
      </c>
      <c r="AS256" s="28">
        <v>0</v>
      </c>
      <c r="AT256" s="29"/>
      <c r="AU256" s="21">
        <v>0</v>
      </c>
      <c r="AV256" s="38">
        <v>0</v>
      </c>
      <c r="AW256" s="55">
        <f>AI256+AK256+AM256+AO256+AQ256+AS256+AV256</f>
        <v>0</v>
      </c>
      <c r="AX256" s="618">
        <f>AJ256+AL256+AN256+AP256+AR256+AT256+AU256</f>
        <v>0</v>
      </c>
      <c r="AY256" s="62">
        <f>AH256+AW256-AX256</f>
        <v>0</v>
      </c>
      <c r="AZ256" s="619">
        <f>IFERROR(+VLOOKUP(A256,'Base de Datos'!$A$1:$H$75,7,0),0)</f>
        <v>0</v>
      </c>
      <c r="BA256" s="62">
        <f>IFERROR(+VLOOKUP(A256,'Base de Datos'!$A$1:$H$75,6,0),0)</f>
        <v>0</v>
      </c>
      <c r="BB256" s="62">
        <f>IFERROR(+VLOOKUP(A256,'Base de Datos'!$A$1:$H$75,8,0),0)</f>
        <v>0</v>
      </c>
      <c r="BC256" s="68">
        <f>+BD256+BB256</f>
        <v>0</v>
      </c>
      <c r="BD256" s="548">
        <f t="shared" si="213"/>
        <v>0</v>
      </c>
      <c r="BE256" s="622">
        <f t="shared" ref="BE256" si="239">IFERROR(((AY256-BD256)/AY256),0)</f>
        <v>0</v>
      </c>
      <c r="BF256" s="62">
        <f>IFERROR(+VLOOKUP(F256,'Base de Datos'!$A$1:$H$75,6,0),0)</f>
        <v>0</v>
      </c>
      <c r="BG256" s="734">
        <f t="shared" ref="BG256" si="240">IFERROR(+(AZ256/AY256),0)</f>
        <v>0</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6">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104355865</v>
      </c>
      <c r="BA258" s="68">
        <f t="shared" si="242"/>
        <v>0</v>
      </c>
      <c r="BB258" s="68">
        <f t="shared" ref="BB258" si="243">+BB259+BB260</f>
        <v>0</v>
      </c>
      <c r="BC258" s="68">
        <f>+BD258+BB258</f>
        <v>0</v>
      </c>
      <c r="BD258" s="547">
        <f t="shared" si="242"/>
        <v>0</v>
      </c>
      <c r="BE258" s="583">
        <f>(AY258-BD258)/AY258</f>
        <v>1</v>
      </c>
      <c r="BF258" s="68">
        <f t="shared" ref="BF258" si="244">+BF259+BF260</f>
        <v>0</v>
      </c>
      <c r="BG258" s="735">
        <f>AZ258/AY258</f>
        <v>1</v>
      </c>
      <c r="BH258" s="1"/>
      <c r="BI258" s="703">
        <v>7195000</v>
      </c>
      <c r="BJ258" s="706">
        <f t="shared" si="193"/>
        <v>-7195000</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104355865</v>
      </c>
      <c r="BA259" s="330">
        <f>BA314+BA315+BA316</f>
        <v>0</v>
      </c>
      <c r="BB259" s="330">
        <f>BB314+BB315+BB316</f>
        <v>0</v>
      </c>
      <c r="BC259" s="68">
        <f>+BD259+BB259</f>
        <v>0</v>
      </c>
      <c r="BD259" s="548">
        <f>AY259-AZ259-BA259</f>
        <v>0</v>
      </c>
      <c r="BE259" s="622">
        <f t="shared" ref="BE259" si="245">IFERROR(((AY259-BD259)/AY259),0)</f>
        <v>1</v>
      </c>
      <c r="BF259" s="330">
        <f>BF314+BF315+BF316</f>
        <v>0</v>
      </c>
      <c r="BG259" s="734">
        <f t="shared" ref="BG259" si="246">IFERROR(+(AZ259/AY259),0)</f>
        <v>1</v>
      </c>
      <c r="BI259" s="703">
        <v>7195000</v>
      </c>
      <c r="BJ259" s="706">
        <f t="shared" si="193"/>
        <v>-7195000</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49"/>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0"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1">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49"/>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49"/>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49"/>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49"/>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49"/>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49"/>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49"/>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1">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49"/>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1">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49"/>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49"/>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49"/>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49"/>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1">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49"/>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1">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49"/>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49"/>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2">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1">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49"/>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49"/>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49"/>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49"/>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1">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49"/>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49"/>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49"/>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49"/>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49"/>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49"/>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49"/>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49"/>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2">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4">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4">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4">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3">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4"/>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5"/>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75" t="s">
        <v>310</v>
      </c>
      <c r="AI304" s="788" t="s">
        <v>300</v>
      </c>
      <c r="AJ304" s="784"/>
      <c r="AK304" s="789" t="s">
        <v>304</v>
      </c>
      <c r="AL304" s="790"/>
      <c r="AM304" s="783" t="s">
        <v>305</v>
      </c>
      <c r="AN304" s="784"/>
      <c r="AO304" s="789" t="s">
        <v>306</v>
      </c>
      <c r="AP304" s="790"/>
      <c r="AQ304" s="783" t="s">
        <v>307</v>
      </c>
      <c r="AR304" s="784"/>
      <c r="AS304" s="431"/>
      <c r="AT304" s="431"/>
      <c r="AU304" s="433" t="s">
        <v>309</v>
      </c>
      <c r="AV304" s="432" t="s">
        <v>308</v>
      </c>
      <c r="AW304" s="786" t="s">
        <v>303</v>
      </c>
      <c r="AX304" s="787"/>
      <c r="AY304" s="775" t="s">
        <v>311</v>
      </c>
      <c r="AZ304" s="780" t="s">
        <v>428</v>
      </c>
      <c r="BA304" s="775" t="s">
        <v>312</v>
      </c>
      <c r="BB304" s="775" t="s">
        <v>627</v>
      </c>
      <c r="BC304" s="775" t="s">
        <v>628</v>
      </c>
      <c r="BD304" s="780" t="s">
        <v>313</v>
      </c>
      <c r="BE304" s="775" t="s">
        <v>427</v>
      </c>
      <c r="BF304" s="775" t="s">
        <v>312</v>
      </c>
      <c r="BG304" s="799"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77"/>
      <c r="AI305" s="434"/>
      <c r="AJ305" s="435"/>
      <c r="AK305" s="436"/>
      <c r="AL305" s="437"/>
      <c r="AM305" s="438"/>
      <c r="AN305" s="435"/>
      <c r="AO305" s="436"/>
      <c r="AP305" s="437"/>
      <c r="AQ305" s="438"/>
      <c r="AR305" s="435"/>
      <c r="AS305" s="435"/>
      <c r="AT305" s="435"/>
      <c r="AU305" s="439"/>
      <c r="AV305" s="438"/>
      <c r="AW305" s="350"/>
      <c r="AX305" s="351"/>
      <c r="AY305" s="777"/>
      <c r="AZ305" s="781"/>
      <c r="BA305" s="777"/>
      <c r="BB305" s="777"/>
      <c r="BC305" s="777"/>
      <c r="BD305" s="781"/>
      <c r="BE305" s="777"/>
      <c r="BF305" s="777"/>
      <c r="BG305" s="800"/>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78"/>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78"/>
      <c r="AZ306" s="782"/>
      <c r="BA306" s="778"/>
      <c r="BB306" s="779"/>
      <c r="BC306" s="779"/>
      <c r="BD306" s="785"/>
      <c r="BE306" s="778"/>
      <c r="BF306" s="778"/>
      <c r="BG306" s="801"/>
    </row>
    <row r="307" spans="1:62" ht="13.5" hidden="1" customHeight="1" thickBot="1" x14ac:dyDescent="0.3">
      <c r="A307" s="771" t="s">
        <v>466</v>
      </c>
      <c r="B307" s="772"/>
      <c r="C307" s="772"/>
      <c r="D307" s="772"/>
      <c r="E307" s="772"/>
      <c r="F307" s="772"/>
      <c r="G307" s="772"/>
      <c r="H307" s="772"/>
      <c r="I307" s="772"/>
      <c r="J307" s="772"/>
      <c r="K307" s="772"/>
      <c r="L307" s="772"/>
      <c r="M307" s="772"/>
      <c r="N307" s="772"/>
      <c r="O307" s="772"/>
      <c r="P307" s="772"/>
      <c r="Q307" s="772"/>
      <c r="R307" s="772"/>
      <c r="S307" s="772"/>
      <c r="T307" s="772"/>
      <c r="U307" s="772"/>
      <c r="V307" s="772"/>
      <c r="W307" s="772"/>
      <c r="X307" s="772"/>
      <c r="Y307" s="772"/>
      <c r="Z307" s="772"/>
      <c r="AA307" s="772"/>
      <c r="AB307" s="772"/>
      <c r="AC307" s="773"/>
      <c r="AH307" s="92"/>
      <c r="AY307" s="2"/>
      <c r="AZ307" s="226"/>
      <c r="BA307" s="3"/>
      <c r="BB307" s="3"/>
      <c r="BC307" s="3"/>
      <c r="BD307" s="227"/>
      <c r="BF307" s="3"/>
      <c r="BG307" s="756"/>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7"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8"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59"/>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5"/>
    </row>
    <row r="312" spans="1:62" ht="12" thickBot="1" x14ac:dyDescent="0.25">
      <c r="A312" s="770" t="s">
        <v>0</v>
      </c>
      <c r="B312" s="770"/>
      <c r="C312" s="770"/>
      <c r="D312" s="770"/>
      <c r="E312" s="770"/>
      <c r="F312" s="770"/>
      <c r="G312" s="770"/>
      <c r="H312" s="770"/>
      <c r="I312" s="770"/>
      <c r="J312" s="770"/>
      <c r="K312" s="770"/>
      <c r="L312" s="770"/>
      <c r="M312" s="770"/>
      <c r="N312" s="770"/>
      <c r="O312" s="770"/>
      <c r="P312" s="770"/>
      <c r="Q312" s="770"/>
      <c r="R312" s="770"/>
      <c r="S312" s="770"/>
      <c r="T312" s="770"/>
      <c r="U312" s="770"/>
      <c r="V312" s="770"/>
      <c r="W312" s="770"/>
      <c r="X312" s="770"/>
      <c r="Y312" s="770"/>
      <c r="Z312" s="770"/>
      <c r="AA312" s="770"/>
      <c r="AB312" s="770"/>
      <c r="AC312" s="770"/>
      <c r="AY312" s="2"/>
      <c r="BG312" s="755"/>
    </row>
    <row r="313" spans="1:62" ht="12.6" thickBot="1" x14ac:dyDescent="0.3">
      <c r="A313" s="767" t="s">
        <v>466</v>
      </c>
      <c r="B313" s="768"/>
      <c r="C313" s="768"/>
      <c r="D313" s="768"/>
      <c r="E313" s="768"/>
      <c r="F313" s="768"/>
      <c r="G313" s="768"/>
      <c r="H313" s="768"/>
      <c r="I313" s="768"/>
      <c r="J313" s="768"/>
      <c r="K313" s="768"/>
      <c r="L313" s="768"/>
      <c r="M313" s="768"/>
      <c r="N313" s="768"/>
      <c r="O313" s="768"/>
      <c r="P313" s="768"/>
      <c r="Q313" s="768"/>
      <c r="R313" s="768"/>
      <c r="S313" s="768"/>
      <c r="T313" s="768"/>
      <c r="U313" s="768"/>
      <c r="V313" s="768"/>
      <c r="W313" s="768"/>
      <c r="X313" s="768"/>
      <c r="Y313" s="768"/>
      <c r="Z313" s="768"/>
      <c r="AA313" s="768"/>
      <c r="AB313" s="768"/>
      <c r="AC313" s="769"/>
      <c r="AI313" s="1"/>
      <c r="AJ313" s="1"/>
      <c r="AY313" s="2"/>
      <c r="AZ313" s="226">
        <v>0</v>
      </c>
      <c r="BA313" s="3"/>
      <c r="BB313" s="3"/>
      <c r="BC313" s="3"/>
      <c r="BD313" s="415"/>
      <c r="BF313" s="3"/>
      <c r="BG313" s="755"/>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73619066</v>
      </c>
      <c r="BA314" s="504">
        <f>IFERROR(+VLOOKUP(A314,'Base de Datos'!$A$1:$H$75,6,0),0)</f>
        <v>0</v>
      </c>
      <c r="BB314" s="504">
        <f>IFERROR(+VLOOKUP(A314,'Base de Datos'!$A$1:$H$75,8,0),0)</f>
        <v>0</v>
      </c>
      <c r="BC314" s="504">
        <f>+BD314+BB314</f>
        <v>0</v>
      </c>
      <c r="BD314" s="542">
        <f>AY314-AZ314-BA314</f>
        <v>0</v>
      </c>
      <c r="BE314" s="545">
        <f t="shared" ref="BE314:BE317" si="266">IFERROR(((AY314-BD314)/AY314),0)</f>
        <v>1</v>
      </c>
      <c r="BF314" s="62">
        <f>IFERROR(+VLOOKUP(A314,'Base de Datos'!$A$1:$K$75,11,0),0)</f>
        <v>0</v>
      </c>
      <c r="BG314" s="760">
        <f t="shared" ref="BG314:BG317" si="267">IFERROR(+(AZ314/AY314),0)</f>
        <v>1</v>
      </c>
      <c r="BI314" s="703">
        <v>7195000</v>
      </c>
      <c r="BJ314" s="706">
        <f t="shared" ref="BJ314:BJ317" si="268">+BD314-BI314</f>
        <v>-7195000</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0">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30736799</v>
      </c>
      <c r="BA316" s="333">
        <f>IFERROR(+VLOOKUP(A316,'Base de Datos'!$A$1:$H$75,6,0),0)</f>
        <v>0</v>
      </c>
      <c r="BB316" s="504">
        <f>IFERROR(+VLOOKUP(A316,'Base de Datos'!$A$1:$H$75,8,0),0)</f>
        <v>0</v>
      </c>
      <c r="BC316" s="504">
        <f>+BD316+BB316</f>
        <v>0</v>
      </c>
      <c r="BD316" s="543">
        <f>AY316-AZ316-BA316</f>
        <v>0</v>
      </c>
      <c r="BE316" s="545">
        <f t="shared" si="266"/>
        <v>1</v>
      </c>
      <c r="BF316" s="62">
        <f>IFERROR(+VLOOKUP(A316,'Base de Datos'!$A$1:$K$75,11,0),0)</f>
        <v>0</v>
      </c>
      <c r="BG316" s="760">
        <f t="shared" si="267"/>
        <v>1</v>
      </c>
      <c r="BJ316" s="706">
        <f t="shared" si="268"/>
        <v>0</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104355865</v>
      </c>
      <c r="BA317" s="341">
        <f>SUM(BA314:BA316)</f>
        <v>0</v>
      </c>
      <c r="BB317" s="341">
        <f>SUM(BB314:BB316)</f>
        <v>0</v>
      </c>
      <c r="BC317" s="504">
        <f>+BD317+BB317</f>
        <v>0</v>
      </c>
      <c r="BD317" s="544">
        <f t="shared" si="269"/>
        <v>0</v>
      </c>
      <c r="BE317" s="545">
        <f t="shared" si="266"/>
        <v>1</v>
      </c>
      <c r="BF317" s="341">
        <f>SUM(BF314:BF316)</f>
        <v>0</v>
      </c>
      <c r="BG317" s="760">
        <f t="shared" si="267"/>
        <v>1</v>
      </c>
      <c r="BI317" s="709">
        <f>+BI314</f>
        <v>7195000</v>
      </c>
      <c r="BJ317" s="706">
        <f t="shared" si="268"/>
        <v>-7195000</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 ref="BF8:BF9"/>
    <mergeCell ref="AK8:AL8"/>
    <mergeCell ref="AM8:AN8"/>
    <mergeCell ref="AO8:AP8"/>
    <mergeCell ref="AQ8:AR8"/>
    <mergeCell ref="AS8:AT8"/>
    <mergeCell ref="AW8:AX8"/>
    <mergeCell ref="AY8:AY9"/>
    <mergeCell ref="AU8:AV8"/>
    <mergeCell ref="AH304:AH306"/>
    <mergeCell ref="AI304:AJ304"/>
    <mergeCell ref="AK304:AL304"/>
    <mergeCell ref="AM304:AN304"/>
    <mergeCell ref="AO304:AP304"/>
    <mergeCell ref="AQ304:AR304"/>
    <mergeCell ref="BE304:BE306"/>
    <mergeCell ref="BD304:BD306"/>
    <mergeCell ref="AW304:AX304"/>
    <mergeCell ref="AY304:AY306"/>
    <mergeCell ref="BF304:BF306"/>
    <mergeCell ref="BB304:BB306"/>
    <mergeCell ref="BC304:BC306"/>
    <mergeCell ref="BA304:BA306"/>
    <mergeCell ref="AZ304:AZ306"/>
    <mergeCell ref="A8:AA8"/>
    <mergeCell ref="A313:AC313"/>
    <mergeCell ref="A312:AC312"/>
    <mergeCell ref="A307:AC307"/>
    <mergeCell ref="AD8:AG8"/>
    <mergeCell ref="AB8:AB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1:BG259">
    <cfRule type="cellIs" dxfId="7" priority="1" operator="lessThan">
      <formula>0.9</formula>
    </cfRule>
  </conditionalFormatting>
  <conditionalFormatting sqref="BG13:BG300">
    <cfRule type="cellIs" dxfId="6" priority="2" operator="lessThan">
      <formula>0.75</formula>
    </cfRule>
  </conditionalFormatting>
  <conditionalFormatting sqref="BG13:BG301">
    <cfRule type="cellIs" dxfId="5" priority="3" operator="lessThan">
      <formula>0.66</formula>
    </cfRule>
    <cfRule type="cellIs" dxfId="4" priority="4" operator="lessThan">
      <formula>0.7</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23" t="s">
        <v>1</v>
      </c>
      <c r="B1" s="824"/>
      <c r="C1" s="824"/>
      <c r="D1" s="824"/>
      <c r="E1" s="824"/>
      <c r="F1" s="825"/>
    </row>
    <row r="2" spans="1:6" x14ac:dyDescent="0.3">
      <c r="A2" s="826" t="s">
        <v>420</v>
      </c>
      <c r="B2" s="827"/>
      <c r="C2" s="827"/>
      <c r="D2" s="827"/>
      <c r="E2" s="827"/>
      <c r="F2" s="828"/>
    </row>
    <row r="3" spans="1:6" x14ac:dyDescent="0.3">
      <c r="A3" s="826" t="s">
        <v>314</v>
      </c>
      <c r="B3" s="827"/>
      <c r="C3" s="827"/>
      <c r="D3" s="827"/>
      <c r="E3" s="827"/>
      <c r="F3" s="828"/>
    </row>
    <row r="4" spans="1:6" x14ac:dyDescent="0.3">
      <c r="A4" s="829" t="s">
        <v>2</v>
      </c>
      <c r="B4" s="830"/>
      <c r="C4" s="830"/>
      <c r="D4" s="830"/>
      <c r="E4" s="830"/>
      <c r="F4" s="831"/>
    </row>
    <row r="5" spans="1:6" ht="15" thickBot="1" x14ac:dyDescent="0.35">
      <c r="A5" s="863" t="s">
        <v>432</v>
      </c>
      <c r="B5" s="833"/>
      <c r="C5" s="833"/>
      <c r="D5" s="833"/>
      <c r="E5" s="833"/>
      <c r="F5" s="834"/>
    </row>
    <row r="6" spans="1:6" ht="15" thickBot="1" x14ac:dyDescent="0.35">
      <c r="A6" s="14"/>
      <c r="B6" s="14"/>
      <c r="C6" s="14"/>
      <c r="D6" s="14"/>
      <c r="E6" s="14"/>
      <c r="F6" s="1"/>
    </row>
    <row r="7" spans="1:6" ht="36" customHeight="1" x14ac:dyDescent="0.3">
      <c r="A7" s="823" t="s">
        <v>4</v>
      </c>
      <c r="B7" s="825"/>
      <c r="C7" s="864" t="s">
        <v>419</v>
      </c>
      <c r="D7" s="864" t="s">
        <v>428</v>
      </c>
      <c r="E7" s="864" t="s">
        <v>313</v>
      </c>
      <c r="F7" s="865" t="s">
        <v>429</v>
      </c>
    </row>
    <row r="8" spans="1:6" ht="15" thickBot="1" x14ac:dyDescent="0.35">
      <c r="A8" s="154" t="s">
        <v>6</v>
      </c>
      <c r="B8" s="162" t="s">
        <v>7</v>
      </c>
      <c r="C8" s="782"/>
      <c r="D8" s="782"/>
      <c r="E8" s="782"/>
      <c r="F8" s="866"/>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31 MARZO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zoomScale="80" zoomScaleNormal="80" workbookViewId="0">
      <selection activeCell="E11" sqref="E11"/>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8" t="str">
        <f>+ResumenxSubP!A1</f>
        <v>MINISTERIO DE CIENCIA, TECNOLOGÍA Y TELECOMUNICACIONES</v>
      </c>
      <c r="B1" s="839"/>
      <c r="C1" s="839"/>
      <c r="D1" s="839"/>
      <c r="E1" s="839"/>
      <c r="F1" s="839"/>
      <c r="G1" s="839"/>
      <c r="H1" s="839"/>
      <c r="I1" s="839"/>
      <c r="J1" s="839"/>
      <c r="K1" s="839"/>
      <c r="L1" s="839"/>
      <c r="M1" s="839"/>
    </row>
    <row r="2" spans="1:14" x14ac:dyDescent="0.3">
      <c r="A2" s="838" t="s">
        <v>661</v>
      </c>
      <c r="B2" s="839"/>
      <c r="C2" s="839"/>
      <c r="D2" s="839"/>
      <c r="E2" s="839"/>
      <c r="F2" s="839"/>
      <c r="G2" s="839"/>
      <c r="H2" s="839"/>
      <c r="I2" s="839"/>
      <c r="J2" s="839"/>
      <c r="K2" s="839"/>
      <c r="L2" s="839"/>
      <c r="M2" s="839"/>
    </row>
    <row r="3" spans="1:14" x14ac:dyDescent="0.3">
      <c r="A3" s="838" t="s">
        <v>451</v>
      </c>
      <c r="B3" s="839"/>
      <c r="C3" s="839"/>
      <c r="D3" s="839"/>
      <c r="E3" s="839"/>
      <c r="F3" s="839"/>
      <c r="G3" s="839"/>
      <c r="H3" s="839"/>
      <c r="I3" s="839"/>
      <c r="J3" s="839"/>
      <c r="K3" s="839"/>
      <c r="L3" s="839"/>
      <c r="M3" s="839"/>
    </row>
    <row r="5" spans="1:14" x14ac:dyDescent="0.3">
      <c r="A5" s="826" t="s">
        <v>439</v>
      </c>
      <c r="B5" s="827"/>
      <c r="C5" s="827"/>
      <c r="D5" s="827"/>
      <c r="E5" s="827"/>
      <c r="F5" s="827"/>
      <c r="G5" s="827"/>
      <c r="H5" s="827"/>
      <c r="I5" s="827"/>
      <c r="J5" s="827"/>
      <c r="K5" s="827"/>
      <c r="L5" s="827"/>
      <c r="M5" s="827"/>
    </row>
    <row r="6" spans="1:14" x14ac:dyDescent="0.3">
      <c r="A6" s="826" t="s">
        <v>440</v>
      </c>
      <c r="B6" s="827"/>
      <c r="C6" s="827"/>
      <c r="D6" s="827"/>
      <c r="E6" s="827"/>
      <c r="F6" s="827"/>
      <c r="G6" s="827"/>
      <c r="H6" s="827"/>
      <c r="I6" s="827"/>
      <c r="J6" s="827"/>
      <c r="K6" s="827"/>
      <c r="L6" s="827"/>
      <c r="M6" s="827"/>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v>1928274677</v>
      </c>
      <c r="D9" s="471">
        <f>+'PPTO AL 31 MARZO 2023'!AH11</f>
        <v>1928274677</v>
      </c>
      <c r="E9" s="471"/>
      <c r="F9" s="471"/>
      <c r="G9" s="471"/>
      <c r="H9" s="471"/>
      <c r="I9" s="471"/>
      <c r="J9" s="471"/>
      <c r="K9" s="471"/>
      <c r="L9" s="471"/>
      <c r="M9" s="471"/>
    </row>
    <row r="10" spans="1:14" x14ac:dyDescent="0.3">
      <c r="A10" s="470" t="s">
        <v>428</v>
      </c>
      <c r="B10" s="472">
        <v>96058112.419999987</v>
      </c>
      <c r="C10" s="472">
        <v>296756713.45000005</v>
      </c>
      <c r="D10" s="472">
        <f>+'PPTO AL 31 MARZO 2023'!AZ11</f>
        <v>499740061.19999999</v>
      </c>
      <c r="E10" s="472"/>
      <c r="F10" s="472"/>
      <c r="G10" s="472"/>
      <c r="H10" s="472"/>
      <c r="I10" s="472"/>
      <c r="J10" s="472"/>
      <c r="K10" s="472"/>
      <c r="L10" s="472"/>
      <c r="M10" s="472"/>
      <c r="N10" s="594"/>
    </row>
    <row r="11" spans="1:14" x14ac:dyDescent="0.3">
      <c r="A11" s="470" t="s">
        <v>312</v>
      </c>
      <c r="B11" s="472">
        <v>332505359.26999998</v>
      </c>
      <c r="C11" s="472">
        <v>216853371.97</v>
      </c>
      <c r="D11" s="472">
        <f>+'PPTO AL 31 MARZO 2023'!BA11</f>
        <v>197795176.62</v>
      </c>
      <c r="E11" s="472"/>
      <c r="F11" s="472"/>
      <c r="G11" s="472"/>
      <c r="H11" s="472"/>
      <c r="I11" s="472"/>
      <c r="J11" s="472"/>
      <c r="K11" s="472"/>
      <c r="L11" s="472"/>
      <c r="M11" s="472"/>
      <c r="N11" s="595"/>
    </row>
    <row r="12" spans="1:14" ht="15" thickBot="1" x14ac:dyDescent="0.35">
      <c r="A12" s="473" t="s">
        <v>313</v>
      </c>
      <c r="B12" s="700">
        <v>1499711205.3099999</v>
      </c>
      <c r="C12" s="700">
        <v>1414664591.5799999</v>
      </c>
      <c r="D12" s="700">
        <f>+'PPTO AL 31 MARZO 2023'!BD11</f>
        <v>1230739439.1800001</v>
      </c>
      <c r="E12" s="700"/>
      <c r="F12" s="700"/>
      <c r="G12" s="700"/>
      <c r="H12" s="700"/>
      <c r="I12" s="700"/>
      <c r="J12" s="700"/>
      <c r="K12" s="700"/>
      <c r="L12" s="700"/>
      <c r="M12" s="700"/>
    </row>
    <row r="13" spans="1:14" x14ac:dyDescent="0.3">
      <c r="A13" s="474"/>
      <c r="B13" s="474"/>
      <c r="C13" s="475">
        <f>SUM(D10:D12)</f>
        <v>1928274677</v>
      </c>
      <c r="D13" s="714"/>
      <c r="E13" s="475">
        <f>SUM(E10:E12)</f>
        <v>0</v>
      </c>
      <c r="F13" s="475">
        <f>SUM(F10:F12)</f>
        <v>0</v>
      </c>
      <c r="G13" s="475">
        <f>SUM(G10:G12)</f>
        <v>0</v>
      </c>
      <c r="H13" s="475">
        <f>SUM(H10:H12)</f>
        <v>0</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7" t="s">
        <v>439</v>
      </c>
      <c r="B15" s="868"/>
      <c r="C15" s="868"/>
      <c r="D15" s="868"/>
      <c r="E15" s="868"/>
      <c r="F15" s="868"/>
      <c r="G15" s="868"/>
      <c r="H15" s="868"/>
      <c r="I15" s="868"/>
      <c r="J15" s="868"/>
      <c r="K15" s="868"/>
      <c r="L15" s="868"/>
      <c r="M15" s="868"/>
    </row>
    <row r="16" spans="1:14" x14ac:dyDescent="0.3">
      <c r="A16" s="867" t="s">
        <v>664</v>
      </c>
      <c r="B16" s="868"/>
      <c r="C16" s="868"/>
      <c r="D16" s="868"/>
      <c r="E16" s="868"/>
      <c r="F16" s="868"/>
      <c r="G16" s="868"/>
      <c r="H16" s="868"/>
      <c r="I16" s="868"/>
      <c r="J16" s="868"/>
      <c r="K16" s="868"/>
      <c r="L16" s="868"/>
      <c r="M16" s="868"/>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f t="shared" ref="D19" si="1">D10/D9</f>
        <v>0.25916435410410155</v>
      </c>
      <c r="E19" s="478"/>
      <c r="F19" s="478"/>
      <c r="G19" s="478"/>
      <c r="H19" s="478"/>
      <c r="I19" s="478"/>
      <c r="J19" s="478"/>
      <c r="K19" s="478"/>
      <c r="L19" s="478"/>
      <c r="M19" s="478"/>
    </row>
    <row r="20" spans="1:13" x14ac:dyDescent="0.3">
      <c r="A20" s="470" t="s">
        <v>312</v>
      </c>
      <c r="B20" s="478">
        <f t="shared" ref="B20:C20" si="2">B11/B9</f>
        <v>0.17243671933052096</v>
      </c>
      <c r="C20" s="478">
        <f t="shared" si="2"/>
        <v>0.11245979349133982</v>
      </c>
      <c r="D20" s="478">
        <f t="shared" ref="D20" si="3">D11/D9</f>
        <v>0.1025762454795749</v>
      </c>
      <c r="E20" s="478"/>
      <c r="F20" s="478"/>
      <c r="G20" s="478"/>
      <c r="H20" s="478"/>
      <c r="I20" s="478"/>
      <c r="J20" s="478"/>
      <c r="K20" s="478"/>
      <c r="L20" s="478"/>
      <c r="M20" s="478"/>
    </row>
    <row r="21" spans="1:13" x14ac:dyDescent="0.3">
      <c r="A21" s="470" t="s">
        <v>313</v>
      </c>
      <c r="B21" s="478">
        <f t="shared" ref="B21:C21" si="4">B12/B9</f>
        <v>0.77774770534415927</v>
      </c>
      <c r="C21" s="478">
        <f t="shared" si="4"/>
        <v>0.73364267469452427</v>
      </c>
      <c r="D21" s="478">
        <f t="shared" ref="D21" si="5">D12/D9</f>
        <v>0.63825940041632356</v>
      </c>
      <c r="E21" s="478"/>
      <c r="F21" s="478"/>
      <c r="G21" s="478"/>
      <c r="H21" s="478"/>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6">C21+C20+C19</f>
        <v>1</v>
      </c>
      <c r="D23" s="482">
        <f t="shared" si="6"/>
        <v>1</v>
      </c>
      <c r="E23" s="482">
        <f t="shared" si="6"/>
        <v>0</v>
      </c>
      <c r="F23" s="482">
        <f>F21+F20+F19</f>
        <v>0</v>
      </c>
      <c r="G23" s="482">
        <f t="shared" si="6"/>
        <v>0</v>
      </c>
      <c r="H23" s="482">
        <f t="shared" si="6"/>
        <v>0</v>
      </c>
      <c r="I23" s="482">
        <f t="shared" si="6"/>
        <v>0</v>
      </c>
      <c r="J23" s="482">
        <f t="shared" si="6"/>
        <v>0</v>
      </c>
      <c r="K23" s="482">
        <f t="shared" si="6"/>
        <v>0</v>
      </c>
      <c r="L23" s="482">
        <f t="shared" si="6"/>
        <v>0</v>
      </c>
      <c r="M23" s="482">
        <f t="shared" si="6"/>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0" t="s">
        <v>624</v>
      </c>
      <c r="B1" s="880"/>
      <c r="C1" s="880"/>
      <c r="D1" s="880"/>
      <c r="E1" s="880"/>
      <c r="F1" s="529"/>
      <c r="G1" s="529"/>
      <c r="H1" s="529"/>
      <c r="I1" s="529"/>
      <c r="J1" s="529"/>
      <c r="K1" s="529"/>
      <c r="L1" s="529"/>
      <c r="M1" s="529"/>
    </row>
    <row r="2" spans="1:13" ht="15" thickBot="1" x14ac:dyDescent="0.35">
      <c r="A2" s="879" t="s">
        <v>625</v>
      </c>
      <c r="B2" s="879"/>
      <c r="C2" s="879"/>
      <c r="D2" s="879"/>
      <c r="E2" s="879"/>
      <c r="F2" s="528"/>
      <c r="G2" s="528"/>
      <c r="H2" s="528"/>
      <c r="I2" s="528"/>
      <c r="J2" s="528"/>
      <c r="K2" s="528"/>
      <c r="L2" s="528"/>
      <c r="M2" s="528"/>
    </row>
    <row r="3" spans="1:13" x14ac:dyDescent="0.3">
      <c r="A3" s="869" t="s">
        <v>462</v>
      </c>
      <c r="B3" s="870"/>
      <c r="C3" s="875">
        <v>899</v>
      </c>
      <c r="D3" s="875"/>
      <c r="E3" s="876"/>
    </row>
    <row r="4" spans="1:13" ht="15" thickBot="1" x14ac:dyDescent="0.35">
      <c r="A4" s="871"/>
      <c r="B4" s="872"/>
      <c r="C4" s="877" t="s">
        <v>640</v>
      </c>
      <c r="D4" s="877"/>
      <c r="E4" s="878"/>
    </row>
    <row r="5" spans="1:13" ht="36" x14ac:dyDescent="0.3">
      <c r="A5" s="873"/>
      <c r="B5" s="874"/>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31 MARZO 2023'!AY21</f>
        <v>0</v>
      </c>
      <c r="D9" s="490">
        <f>+'PPTO AL 31 MARZO 2023'!AZ21</f>
        <v>0</v>
      </c>
      <c r="E9" s="492" t="e">
        <f>D9/C9</f>
        <v>#DIV/0!</v>
      </c>
    </row>
    <row r="10" spans="1:13" x14ac:dyDescent="0.3">
      <c r="A10" s="493" t="s">
        <v>614</v>
      </c>
      <c r="B10" s="489" t="s">
        <v>59</v>
      </c>
      <c r="C10" s="490"/>
      <c r="D10" s="491"/>
      <c r="E10" s="492"/>
    </row>
    <row r="11" spans="1:13" x14ac:dyDescent="0.3">
      <c r="A11" s="488" t="s">
        <v>566</v>
      </c>
      <c r="B11" s="489" t="s">
        <v>567</v>
      </c>
      <c r="C11" s="490">
        <f>+'PPTO AL 31 MARZO 2023'!AY61</f>
        <v>8848800</v>
      </c>
      <c r="D11" s="490">
        <f>+'PPTO AL 31 MARZO 2023'!AZ61</f>
        <v>90241.8</v>
      </c>
      <c r="E11" s="492">
        <f>D11/C11</f>
        <v>1.0198196365608897E-2</v>
      </c>
    </row>
    <row r="12" spans="1:13" x14ac:dyDescent="0.3">
      <c r="A12" s="488" t="s">
        <v>568</v>
      </c>
      <c r="B12" s="489" t="s">
        <v>569</v>
      </c>
      <c r="C12" s="490">
        <f>+'PPTO AL 31 MARZO 2023'!AY62</f>
        <v>0</v>
      </c>
      <c r="D12" s="490">
        <f>+'PPTO AL 31 MARZO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31 MARZO 2023'!AY72</f>
        <v>35033220</v>
      </c>
      <c r="D17" s="490">
        <f>+'PPTO AL 31 MARZO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31 MARZO 2023'!AY74</f>
        <v>12605580</v>
      </c>
      <c r="D19" s="490">
        <f>+'PPTO AL 31 MARZO 2023'!AZ74</f>
        <v>1957250.4</v>
      </c>
      <c r="E19" s="492">
        <f t="shared" si="0"/>
        <v>0.15526857153736678</v>
      </c>
    </row>
    <row r="20" spans="1:5" x14ac:dyDescent="0.3">
      <c r="A20" s="488" t="s">
        <v>577</v>
      </c>
      <c r="B20" s="489" t="s">
        <v>74</v>
      </c>
      <c r="C20" s="490">
        <f>+'PPTO AL 31 MARZO 2023'!AY75</f>
        <v>0</v>
      </c>
      <c r="D20" s="490">
        <f>+'PPTO AL 31 MARZO 2023'!AZ75</f>
        <v>0</v>
      </c>
      <c r="E20" s="492" t="e">
        <f t="shared" si="0"/>
        <v>#DIV/0!</v>
      </c>
    </row>
    <row r="21" spans="1:5" x14ac:dyDescent="0.3">
      <c r="A21" s="488" t="s">
        <v>578</v>
      </c>
      <c r="B21" s="489" t="s">
        <v>75</v>
      </c>
      <c r="C21" s="490"/>
      <c r="D21" s="491"/>
      <c r="E21" s="492"/>
    </row>
    <row r="22" spans="1:5" x14ac:dyDescent="0.3">
      <c r="A22" s="488" t="s">
        <v>579</v>
      </c>
      <c r="B22" s="489" t="s">
        <v>76</v>
      </c>
      <c r="C22" s="490">
        <f>+'PPTO AL 31 MARZO 2023'!AY77</f>
        <v>49160</v>
      </c>
      <c r="D22" s="490">
        <f>+'PPTO AL 31 MARZO 2023'!AZ77</f>
        <v>7770</v>
      </c>
      <c r="E22" s="492">
        <f t="shared" si="0"/>
        <v>0.15805532953620829</v>
      </c>
    </row>
    <row r="23" spans="1:5" x14ac:dyDescent="0.3">
      <c r="A23" s="488" t="s">
        <v>580</v>
      </c>
      <c r="B23" s="489" t="s">
        <v>77</v>
      </c>
      <c r="C23" s="490">
        <f>+'PPTO AL 31 MARZO 2023'!AY78</f>
        <v>537519</v>
      </c>
      <c r="D23" s="490">
        <f>+'PPTO AL 31 MARZO 2023'!AZ78</f>
        <v>287400</v>
      </c>
      <c r="E23" s="492">
        <f t="shared" si="0"/>
        <v>0.53467877414565812</v>
      </c>
    </row>
    <row r="24" spans="1:5" x14ac:dyDescent="0.3">
      <c r="A24" s="488" t="s">
        <v>581</v>
      </c>
      <c r="B24" s="489" t="s">
        <v>78</v>
      </c>
      <c r="C24" s="490">
        <f>+'PPTO AL 31 MARZO 2023'!AY79</f>
        <v>4000000</v>
      </c>
      <c r="D24" s="490">
        <f>+'PPTO AL 31 MARZO 2023'!AZ79</f>
        <v>0</v>
      </c>
      <c r="E24" s="492">
        <f t="shared" si="0"/>
        <v>0</v>
      </c>
    </row>
    <row r="25" spans="1:5" x14ac:dyDescent="0.3">
      <c r="A25" s="488" t="s">
        <v>582</v>
      </c>
      <c r="B25" s="489" t="s">
        <v>79</v>
      </c>
      <c r="C25" s="490">
        <f>+'PPTO AL 31 MARZO 2023'!AY80</f>
        <v>4000000</v>
      </c>
      <c r="D25" s="490">
        <f>+'PPTO AL 31 MARZO 2023'!AZ80</f>
        <v>104936.38</v>
      </c>
      <c r="E25" s="492">
        <f t="shared" si="0"/>
        <v>2.6234095000000002E-2</v>
      </c>
    </row>
    <row r="26" spans="1:5" x14ac:dyDescent="0.3">
      <c r="A26" s="493" t="s">
        <v>615</v>
      </c>
      <c r="B26" s="489" t="s">
        <v>583</v>
      </c>
      <c r="C26" s="490"/>
      <c r="D26" s="490"/>
      <c r="E26" s="492"/>
    </row>
    <row r="27" spans="1:5" x14ac:dyDescent="0.3">
      <c r="A27" s="488" t="s">
        <v>584</v>
      </c>
      <c r="B27" s="489" t="s">
        <v>585</v>
      </c>
      <c r="C27" s="490">
        <f>+'PPTO AL 31 MARZO 2023'!AY86</f>
        <v>0</v>
      </c>
      <c r="D27" s="490">
        <f>+'PPTO AL 31 MARZO 2023'!AZ86</f>
        <v>0</v>
      </c>
      <c r="E27" s="492">
        <v>0</v>
      </c>
    </row>
    <row r="28" spans="1:5" x14ac:dyDescent="0.3">
      <c r="A28" s="488" t="s">
        <v>586</v>
      </c>
      <c r="B28" s="489" t="s">
        <v>587</v>
      </c>
      <c r="C28" s="490">
        <f>+'PPTO AL 31 MARZO 2023'!AY87</f>
        <v>0</v>
      </c>
      <c r="D28" s="490">
        <f>+'PPTO AL 31 MARZO 2023'!AZ87</f>
        <v>0</v>
      </c>
      <c r="E28" s="492">
        <v>0</v>
      </c>
    </row>
    <row r="29" spans="1:5" x14ac:dyDescent="0.3">
      <c r="A29" s="488" t="s">
        <v>588</v>
      </c>
      <c r="B29" s="489" t="s">
        <v>87</v>
      </c>
      <c r="C29" s="490">
        <f>+'PPTO AL 31 MARZO 2023'!AY88</f>
        <v>0</v>
      </c>
      <c r="D29" s="490">
        <f>+'PPTO AL 31 MARZO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31 MARZO 2023'!AY121</f>
        <v>0</v>
      </c>
      <c r="D33" s="490">
        <f>+'PPTO AL 31 MARZO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31 MARZO 2023'!AY143</f>
        <v>0</v>
      </c>
      <c r="D35" s="490">
        <f>+'PPTO AL 31 MARZO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31 MARZO 2023'!AY256</f>
        <v>0</v>
      </c>
      <c r="D44" s="494">
        <f>+'PPTO AL 31 MARZO 2023'!AZ256</f>
        <v>0</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K2" activePane="bottomRight" state="frozen"/>
      <selection pane="topRight" activeCell="D1" sqref="D1"/>
      <selection pane="bottomLeft" activeCell="A2" sqref="A2"/>
      <selection pane="bottomRight" activeCell="L2" sqref="L2:M52"/>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1679900770</v>
      </c>
      <c r="C2" s="728">
        <v>0</v>
      </c>
      <c r="D2" s="728">
        <v>170939717</v>
      </c>
      <c r="E2" s="728">
        <v>0</v>
      </c>
      <c r="F2" s="703">
        <f>SUM(C2:E2)</f>
        <v>170939717</v>
      </c>
      <c r="G2" s="728">
        <v>384599457.27999997</v>
      </c>
      <c r="H2" s="703"/>
      <c r="I2" s="703"/>
      <c r="J2" s="728">
        <v>1124361595.72</v>
      </c>
      <c r="K2" s="728">
        <v>1073561683.72</v>
      </c>
      <c r="L2" s="728">
        <v>0</v>
      </c>
      <c r="M2" s="881">
        <v>-50799912</v>
      </c>
      <c r="N2" s="728">
        <v>0</v>
      </c>
      <c r="O2" s="728">
        <v>0</v>
      </c>
      <c r="P2" s="728">
        <v>0</v>
      </c>
    </row>
    <row r="3" spans="1:17" outlineLevel="2" x14ac:dyDescent="0.3">
      <c r="A3" t="s">
        <v>546</v>
      </c>
      <c r="B3" s="728">
        <v>1193151526</v>
      </c>
      <c r="C3" s="728">
        <v>0</v>
      </c>
      <c r="D3" s="728">
        <v>0</v>
      </c>
      <c r="E3" s="728">
        <v>0</v>
      </c>
      <c r="F3" s="703">
        <f t="shared" ref="F3:F50" si="0">SUM(C3:E3)</f>
        <v>0</v>
      </c>
      <c r="G3" s="728">
        <v>232858721.13</v>
      </c>
      <c r="H3" s="703"/>
      <c r="I3" s="703"/>
      <c r="J3" s="728">
        <v>960292804.87</v>
      </c>
      <c r="K3" s="728">
        <v>920605372.87</v>
      </c>
      <c r="L3" s="728">
        <v>0</v>
      </c>
      <c r="M3" s="881">
        <v>-39687432</v>
      </c>
      <c r="N3" s="728">
        <v>0</v>
      </c>
      <c r="O3" s="728">
        <v>0</v>
      </c>
      <c r="P3" s="728">
        <v>0</v>
      </c>
    </row>
    <row r="4" spans="1:17" outlineLevel="2" x14ac:dyDescent="0.3">
      <c r="A4" t="s">
        <v>475</v>
      </c>
      <c r="B4" s="728">
        <v>1193151526</v>
      </c>
      <c r="C4" s="728">
        <v>0</v>
      </c>
      <c r="D4" s="728">
        <v>0</v>
      </c>
      <c r="E4" s="728">
        <v>0</v>
      </c>
      <c r="F4" s="703">
        <f t="shared" si="0"/>
        <v>0</v>
      </c>
      <c r="G4" s="728">
        <v>232858721.13</v>
      </c>
      <c r="H4" s="703"/>
      <c r="I4" s="703"/>
      <c r="J4" s="728">
        <v>960292804.87</v>
      </c>
      <c r="K4" s="728">
        <v>920605372.87</v>
      </c>
      <c r="L4" s="728">
        <v>0</v>
      </c>
      <c r="M4" s="881">
        <v>-39687432</v>
      </c>
      <c r="N4" s="728">
        <v>0</v>
      </c>
      <c r="O4" s="728">
        <v>0</v>
      </c>
      <c r="P4" s="728">
        <v>0</v>
      </c>
    </row>
    <row r="5" spans="1:17" outlineLevel="2" x14ac:dyDescent="0.3">
      <c r="A5" t="s">
        <v>547</v>
      </c>
      <c r="B5" s="728">
        <v>228752244</v>
      </c>
      <c r="C5" s="728">
        <v>0</v>
      </c>
      <c r="D5" s="728">
        <v>0</v>
      </c>
      <c r="E5" s="728">
        <v>0</v>
      </c>
      <c r="F5" s="703">
        <f>SUM(C5:E5)</f>
        <v>0</v>
      </c>
      <c r="G5" s="728">
        <v>88680453.150000006</v>
      </c>
      <c r="H5" s="703"/>
      <c r="I5" s="703"/>
      <c r="J5" s="728">
        <v>140071790.84999999</v>
      </c>
      <c r="K5" s="728">
        <v>136765827.84999999</v>
      </c>
      <c r="L5" s="728">
        <v>0</v>
      </c>
      <c r="M5" s="881">
        <v>-3305963</v>
      </c>
      <c r="N5" s="728">
        <v>0</v>
      </c>
      <c r="O5" s="728">
        <v>0</v>
      </c>
      <c r="P5" s="728">
        <v>0</v>
      </c>
    </row>
    <row r="6" spans="1:17" outlineLevel="2" x14ac:dyDescent="0.3">
      <c r="A6" t="s">
        <v>477</v>
      </c>
      <c r="B6" s="728">
        <v>8794308</v>
      </c>
      <c r="C6" s="728">
        <v>0</v>
      </c>
      <c r="D6" s="728">
        <v>0</v>
      </c>
      <c r="E6" s="728">
        <v>0</v>
      </c>
      <c r="F6" s="703">
        <f t="shared" si="0"/>
        <v>0</v>
      </c>
      <c r="G6" s="728">
        <v>1131285</v>
      </c>
      <c r="H6" s="703"/>
      <c r="I6" s="703"/>
      <c r="J6" s="728">
        <v>7663023</v>
      </c>
      <c r="K6" s="728">
        <v>7663023</v>
      </c>
      <c r="L6" s="728">
        <v>0</v>
      </c>
      <c r="M6" s="728">
        <v>0</v>
      </c>
      <c r="N6" s="728">
        <v>0</v>
      </c>
      <c r="O6" s="728">
        <v>0</v>
      </c>
      <c r="P6" s="728">
        <v>0</v>
      </c>
    </row>
    <row r="7" spans="1:17" outlineLevel="2" x14ac:dyDescent="0.3">
      <c r="A7" t="s">
        <v>478</v>
      </c>
      <c r="B7" s="728">
        <v>10160670</v>
      </c>
      <c r="C7" s="728">
        <v>0</v>
      </c>
      <c r="D7" s="728">
        <v>0</v>
      </c>
      <c r="E7" s="728">
        <v>0</v>
      </c>
      <c r="F7" s="703">
        <f t="shared" si="0"/>
        <v>0</v>
      </c>
      <c r="G7" s="728">
        <v>2305800</v>
      </c>
      <c r="H7" s="703"/>
      <c r="I7" s="703"/>
      <c r="J7" s="728">
        <v>7854870</v>
      </c>
      <c r="K7" s="728">
        <v>7854870</v>
      </c>
      <c r="L7" s="728">
        <v>0</v>
      </c>
      <c r="M7" s="728">
        <v>0</v>
      </c>
      <c r="N7" s="728">
        <v>0</v>
      </c>
      <c r="O7" s="728">
        <v>0</v>
      </c>
      <c r="P7" s="728">
        <v>0</v>
      </c>
    </row>
    <row r="8" spans="1:17" outlineLevel="2" x14ac:dyDescent="0.3">
      <c r="A8" t="s">
        <v>537</v>
      </c>
      <c r="B8" s="728">
        <v>109960788</v>
      </c>
      <c r="C8" s="728">
        <v>0</v>
      </c>
      <c r="D8" s="728">
        <v>0</v>
      </c>
      <c r="E8" s="728">
        <v>0</v>
      </c>
      <c r="F8" s="703">
        <f t="shared" si="0"/>
        <v>0</v>
      </c>
      <c r="G8" s="728">
        <v>0</v>
      </c>
      <c r="H8" s="703"/>
      <c r="I8" s="703"/>
      <c r="J8" s="728">
        <v>109960788</v>
      </c>
      <c r="K8" s="728">
        <v>106654825</v>
      </c>
      <c r="L8" s="728">
        <v>0</v>
      </c>
      <c r="M8" s="881">
        <v>-3305963</v>
      </c>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v>0</v>
      </c>
      <c r="M9" s="728">
        <v>0</v>
      </c>
      <c r="N9" s="728">
        <v>0</v>
      </c>
      <c r="O9" s="728">
        <v>0</v>
      </c>
      <c r="P9" s="728">
        <v>0</v>
      </c>
    </row>
    <row r="10" spans="1:17" outlineLevel="2" x14ac:dyDescent="0.3">
      <c r="A10" t="s">
        <v>480</v>
      </c>
      <c r="B10" s="728">
        <v>3054912</v>
      </c>
      <c r="C10" s="728">
        <v>0</v>
      </c>
      <c r="D10" s="728">
        <v>0</v>
      </c>
      <c r="E10" s="728">
        <v>0</v>
      </c>
      <c r="F10" s="703">
        <f t="shared" si="0"/>
        <v>0</v>
      </c>
      <c r="G10" s="728">
        <v>68190</v>
      </c>
      <c r="H10" s="703"/>
      <c r="I10" s="703"/>
      <c r="J10" s="728">
        <v>2986722</v>
      </c>
      <c r="K10" s="728">
        <v>2986722</v>
      </c>
      <c r="L10" s="728">
        <v>0</v>
      </c>
      <c r="M10" s="728">
        <v>0</v>
      </c>
      <c r="N10" s="728">
        <v>0</v>
      </c>
      <c r="O10" s="728">
        <v>0</v>
      </c>
      <c r="P10" s="728">
        <v>0</v>
      </c>
    </row>
    <row r="11" spans="1:17" outlineLevel="2" x14ac:dyDescent="0.3">
      <c r="A11" t="s">
        <v>548</v>
      </c>
      <c r="B11" s="728">
        <v>127884000</v>
      </c>
      <c r="C11" s="728">
        <v>0</v>
      </c>
      <c r="D11" s="728">
        <v>84603813</v>
      </c>
      <c r="E11" s="728">
        <v>0</v>
      </c>
      <c r="F11" s="703">
        <f t="shared" si="0"/>
        <v>84603813</v>
      </c>
      <c r="G11" s="728">
        <v>31396187</v>
      </c>
      <c r="H11" s="703"/>
      <c r="I11" s="703"/>
      <c r="J11" s="728">
        <v>11884000</v>
      </c>
      <c r="K11" s="728">
        <v>8014476</v>
      </c>
      <c r="L11" s="728">
        <v>0</v>
      </c>
      <c r="M11" s="881">
        <v>-3869524</v>
      </c>
      <c r="N11" s="728">
        <v>0</v>
      </c>
      <c r="O11" s="728">
        <v>0</v>
      </c>
      <c r="P11" s="728">
        <v>0</v>
      </c>
    </row>
    <row r="12" spans="1:17" outlineLevel="2" x14ac:dyDescent="0.3">
      <c r="A12" t="s">
        <v>481</v>
      </c>
      <c r="B12" s="728">
        <v>121326000</v>
      </c>
      <c r="C12" s="728">
        <v>0</v>
      </c>
      <c r="D12" s="728">
        <v>80213889</v>
      </c>
      <c r="E12" s="728">
        <v>0</v>
      </c>
      <c r="F12" s="703">
        <f t="shared" si="0"/>
        <v>80213889</v>
      </c>
      <c r="G12" s="728">
        <v>29786111</v>
      </c>
      <c r="H12" s="703"/>
      <c r="I12" s="703"/>
      <c r="J12" s="728">
        <v>11326000</v>
      </c>
      <c r="K12" s="728">
        <v>7654913</v>
      </c>
      <c r="L12" s="728">
        <v>0</v>
      </c>
      <c r="M12" s="881">
        <v>-3671087</v>
      </c>
      <c r="N12" s="728">
        <v>0</v>
      </c>
      <c r="O12" s="728">
        <v>0</v>
      </c>
      <c r="P12" s="728">
        <v>0</v>
      </c>
    </row>
    <row r="13" spans="1:17" outlineLevel="2" x14ac:dyDescent="0.3">
      <c r="A13" t="s">
        <v>482</v>
      </c>
      <c r="B13" s="728">
        <v>6558000</v>
      </c>
      <c r="C13" s="728">
        <v>0</v>
      </c>
      <c r="D13" s="728">
        <v>4389924</v>
      </c>
      <c r="E13" s="728">
        <v>0</v>
      </c>
      <c r="F13" s="703">
        <f t="shared" si="0"/>
        <v>4389924</v>
      </c>
      <c r="G13" s="728">
        <v>1610076</v>
      </c>
      <c r="H13" s="703"/>
      <c r="I13" s="703"/>
      <c r="J13" s="728">
        <v>558000</v>
      </c>
      <c r="K13" s="728">
        <v>359563</v>
      </c>
      <c r="L13" s="728">
        <v>0</v>
      </c>
      <c r="M13" s="881">
        <v>-198437</v>
      </c>
      <c r="N13" s="728">
        <v>0</v>
      </c>
      <c r="O13" s="728">
        <v>0</v>
      </c>
      <c r="P13" s="728">
        <v>0</v>
      </c>
    </row>
    <row r="14" spans="1:17" outlineLevel="2" x14ac:dyDescent="0.3">
      <c r="A14" t="s">
        <v>549</v>
      </c>
      <c r="B14" s="728">
        <v>130113000</v>
      </c>
      <c r="C14" s="728">
        <v>0</v>
      </c>
      <c r="D14" s="728">
        <v>86335904</v>
      </c>
      <c r="E14" s="728">
        <v>0</v>
      </c>
      <c r="F14" s="703">
        <f t="shared" si="0"/>
        <v>86335904</v>
      </c>
      <c r="G14" s="728">
        <v>31664096</v>
      </c>
      <c r="H14" s="703"/>
      <c r="I14" s="703"/>
      <c r="J14" s="728">
        <v>12113000</v>
      </c>
      <c r="K14" s="728">
        <v>8176007</v>
      </c>
      <c r="L14" s="728">
        <v>0</v>
      </c>
      <c r="M14" s="881">
        <v>-3936993</v>
      </c>
      <c r="N14" s="728">
        <v>0</v>
      </c>
      <c r="O14" s="728">
        <v>0</v>
      </c>
      <c r="P14" s="728">
        <v>0</v>
      </c>
    </row>
    <row r="15" spans="1:17" outlineLevel="2" x14ac:dyDescent="0.3">
      <c r="A15" t="s">
        <v>483</v>
      </c>
      <c r="B15" s="728">
        <v>71090000</v>
      </c>
      <c r="C15" s="728">
        <v>0</v>
      </c>
      <c r="D15" s="728">
        <v>47826467</v>
      </c>
      <c r="E15" s="728">
        <v>0</v>
      </c>
      <c r="F15" s="703">
        <f t="shared" si="0"/>
        <v>47826467</v>
      </c>
      <c r="G15" s="728">
        <v>17173533</v>
      </c>
      <c r="H15" s="703"/>
      <c r="I15" s="703"/>
      <c r="J15" s="728">
        <v>6090000</v>
      </c>
      <c r="K15" s="728">
        <v>3938941</v>
      </c>
      <c r="L15" s="728">
        <v>0</v>
      </c>
      <c r="M15" s="881">
        <v>-2151059</v>
      </c>
      <c r="N15" s="728">
        <v>0</v>
      </c>
      <c r="O15" s="728">
        <v>0</v>
      </c>
      <c r="P15" s="728">
        <v>0</v>
      </c>
    </row>
    <row r="16" spans="1:17" outlineLevel="2" x14ac:dyDescent="0.3">
      <c r="A16" t="s">
        <v>484</v>
      </c>
      <c r="B16" s="728">
        <v>39349000</v>
      </c>
      <c r="C16" s="728">
        <v>0</v>
      </c>
      <c r="D16" s="728">
        <v>25339620</v>
      </c>
      <c r="E16" s="728">
        <v>0</v>
      </c>
      <c r="F16" s="703">
        <f t="shared" si="0"/>
        <v>25339620</v>
      </c>
      <c r="G16" s="728">
        <v>9660380</v>
      </c>
      <c r="H16" s="703"/>
      <c r="I16" s="703"/>
      <c r="J16" s="728">
        <v>4349000</v>
      </c>
      <c r="K16" s="728">
        <v>3158377</v>
      </c>
      <c r="L16" s="728">
        <v>0</v>
      </c>
      <c r="M16" s="881">
        <v>-1190623</v>
      </c>
      <c r="N16" s="728">
        <v>0</v>
      </c>
      <c r="O16" s="728">
        <v>0</v>
      </c>
      <c r="P16" s="728">
        <v>0</v>
      </c>
    </row>
    <row r="17" spans="1:16" outlineLevel="2" x14ac:dyDescent="0.3">
      <c r="A17" t="s">
        <v>485</v>
      </c>
      <c r="B17" s="728">
        <v>19674000</v>
      </c>
      <c r="C17" s="728">
        <v>0</v>
      </c>
      <c r="D17" s="728">
        <v>13169817</v>
      </c>
      <c r="E17" s="728">
        <v>0</v>
      </c>
      <c r="F17" s="703">
        <f t="shared" si="0"/>
        <v>13169817</v>
      </c>
      <c r="G17" s="728">
        <v>4830183</v>
      </c>
      <c r="H17" s="703"/>
      <c r="I17" s="703"/>
      <c r="J17" s="728">
        <v>1674000</v>
      </c>
      <c r="K17" s="728">
        <v>1078689</v>
      </c>
      <c r="L17" s="728">
        <v>0</v>
      </c>
      <c r="M17" s="881">
        <v>-595311</v>
      </c>
      <c r="N17" s="728">
        <v>0</v>
      </c>
      <c r="O17" s="728">
        <v>0</v>
      </c>
      <c r="P17" s="728">
        <v>0</v>
      </c>
    </row>
    <row r="18" spans="1:16" outlineLevel="2" x14ac:dyDescent="0.3">
      <c r="A18" t="s">
        <v>550</v>
      </c>
      <c r="B18" s="728">
        <v>76339027</v>
      </c>
      <c r="C18" s="728">
        <v>0</v>
      </c>
      <c r="D18" s="728">
        <v>7520705.6200000001</v>
      </c>
      <c r="E18" s="728">
        <v>0</v>
      </c>
      <c r="F18" s="703">
        <f t="shared" si="0"/>
        <v>7520705.6200000001</v>
      </c>
      <c r="G18" s="728">
        <v>3580065.87</v>
      </c>
      <c r="H18" s="703"/>
      <c r="I18" s="703"/>
      <c r="J18" s="728">
        <v>65238255.509999998</v>
      </c>
      <c r="K18" s="728">
        <v>54362012.460000001</v>
      </c>
      <c r="L18" s="728">
        <v>0</v>
      </c>
      <c r="M18" s="728">
        <v>0</v>
      </c>
      <c r="N18" s="728">
        <v>0</v>
      </c>
      <c r="O18" s="728">
        <v>0</v>
      </c>
      <c r="P18" s="728">
        <v>0</v>
      </c>
    </row>
    <row r="19" spans="1:16" outlineLevel="2" x14ac:dyDescent="0.3">
      <c r="A19" t="s">
        <v>551</v>
      </c>
      <c r="B19" s="728">
        <v>8863548</v>
      </c>
      <c r="C19" s="728">
        <v>0</v>
      </c>
      <c r="D19" s="728">
        <v>1002405.86</v>
      </c>
      <c r="E19" s="728">
        <v>0</v>
      </c>
      <c r="F19" s="703">
        <f t="shared" si="0"/>
        <v>1002405.86</v>
      </c>
      <c r="G19" s="728">
        <v>91522.09</v>
      </c>
      <c r="H19" s="703"/>
      <c r="I19" s="703"/>
      <c r="J19" s="728">
        <v>7769620.0499999998</v>
      </c>
      <c r="K19" s="728">
        <v>7762246.0499999998</v>
      </c>
      <c r="L19" s="728">
        <v>0</v>
      </c>
      <c r="M19" s="728">
        <v>0</v>
      </c>
      <c r="N19" s="728">
        <v>0</v>
      </c>
      <c r="O19" s="728">
        <v>0</v>
      </c>
      <c r="P19" s="728">
        <v>0</v>
      </c>
    </row>
    <row r="20" spans="1:16" outlineLevel="2" x14ac:dyDescent="0.3">
      <c r="A20" t="s">
        <v>493</v>
      </c>
      <c r="B20" s="728">
        <v>8848800</v>
      </c>
      <c r="C20" s="728">
        <v>0</v>
      </c>
      <c r="D20" s="728">
        <v>999999.15</v>
      </c>
      <c r="E20" s="728">
        <v>0</v>
      </c>
      <c r="F20" s="703">
        <f t="shared" si="0"/>
        <v>999999.15</v>
      </c>
      <c r="G20" s="728">
        <v>90241.8</v>
      </c>
      <c r="H20" s="703"/>
      <c r="I20" s="703"/>
      <c r="J20" s="728">
        <v>7758559.0499999998</v>
      </c>
      <c r="K20" s="728">
        <v>7758559.0499999998</v>
      </c>
      <c r="L20" s="728">
        <v>0</v>
      </c>
      <c r="M20" s="728">
        <v>0</v>
      </c>
      <c r="N20" s="728">
        <v>0</v>
      </c>
      <c r="O20" s="728">
        <v>0</v>
      </c>
      <c r="P20" s="728">
        <v>0</v>
      </c>
    </row>
    <row r="21" spans="1:16" outlineLevel="2" x14ac:dyDescent="0.3">
      <c r="A21" t="s">
        <v>662</v>
      </c>
      <c r="B21" s="728">
        <v>14748</v>
      </c>
      <c r="C21" s="728">
        <v>0</v>
      </c>
      <c r="D21" s="728">
        <v>2406.71</v>
      </c>
      <c r="E21" s="728">
        <v>0</v>
      </c>
      <c r="F21" s="703">
        <f t="shared" si="0"/>
        <v>2406.71</v>
      </c>
      <c r="G21" s="728">
        <v>1280.29</v>
      </c>
      <c r="H21" s="703"/>
      <c r="I21" s="703"/>
      <c r="J21" s="728">
        <v>11061</v>
      </c>
      <c r="K21" s="728">
        <v>3687</v>
      </c>
      <c r="L21" s="728">
        <v>0</v>
      </c>
      <c r="M21" s="728">
        <v>0</v>
      </c>
      <c r="N21" s="728">
        <v>0</v>
      </c>
      <c r="O21" s="728">
        <v>0</v>
      </c>
      <c r="P21" s="728">
        <v>0</v>
      </c>
    </row>
    <row r="22" spans="1:16" outlineLevel="2" x14ac:dyDescent="0.3">
      <c r="A22" t="s">
        <v>552</v>
      </c>
      <c r="B22" s="728">
        <v>47638800</v>
      </c>
      <c r="C22" s="728">
        <v>0</v>
      </c>
      <c r="D22" s="728">
        <v>978628.39</v>
      </c>
      <c r="E22" s="728">
        <v>0</v>
      </c>
      <c r="F22" s="703">
        <f t="shared" si="0"/>
        <v>978628.39</v>
      </c>
      <c r="G22" s="728">
        <v>1957250.4</v>
      </c>
      <c r="H22" s="703"/>
      <c r="I22" s="703"/>
      <c r="J22" s="728">
        <v>44702921.210000001</v>
      </c>
      <c r="K22" s="728">
        <v>39175131.210000001</v>
      </c>
      <c r="L22" s="728">
        <v>0</v>
      </c>
      <c r="M22" s="728">
        <v>0</v>
      </c>
      <c r="N22" s="728">
        <v>0</v>
      </c>
      <c r="O22" s="728">
        <v>0</v>
      </c>
      <c r="P22" s="728">
        <v>0</v>
      </c>
    </row>
    <row r="23" spans="1:16" outlineLevel="2" x14ac:dyDescent="0.3">
      <c r="A23" t="s">
        <v>496</v>
      </c>
      <c r="B23" s="728">
        <v>35033220</v>
      </c>
      <c r="C23" s="728">
        <v>0</v>
      </c>
      <c r="D23" s="728">
        <v>0</v>
      </c>
      <c r="E23" s="728">
        <v>0</v>
      </c>
      <c r="F23" s="703">
        <f t="shared" si="0"/>
        <v>0</v>
      </c>
      <c r="G23" s="728">
        <v>0</v>
      </c>
      <c r="H23" s="703"/>
      <c r="I23" s="703"/>
      <c r="J23" s="728">
        <v>35033220</v>
      </c>
      <c r="K23" s="728">
        <v>35033220</v>
      </c>
      <c r="L23" s="728">
        <v>0</v>
      </c>
      <c r="M23" s="728">
        <v>0</v>
      </c>
      <c r="N23" s="728">
        <v>0</v>
      </c>
      <c r="O23" s="728">
        <v>0</v>
      </c>
      <c r="P23" s="728">
        <v>0</v>
      </c>
    </row>
    <row r="24" spans="1:16" outlineLevel="2" x14ac:dyDescent="0.3">
      <c r="A24" t="s">
        <v>497</v>
      </c>
      <c r="B24" s="728">
        <v>12605580</v>
      </c>
      <c r="C24" s="728">
        <v>0</v>
      </c>
      <c r="D24" s="728">
        <v>978628.39</v>
      </c>
      <c r="E24" s="728">
        <v>0</v>
      </c>
      <c r="F24" s="703">
        <f t="shared" si="0"/>
        <v>978628.39</v>
      </c>
      <c r="G24" s="728">
        <v>1957250.4</v>
      </c>
      <c r="H24" s="703"/>
      <c r="I24" s="703"/>
      <c r="J24" s="728">
        <v>9669701.2100000009</v>
      </c>
      <c r="K24" s="728">
        <v>4141911.21</v>
      </c>
      <c r="L24" s="728">
        <v>0</v>
      </c>
      <c r="M24" s="728">
        <v>0</v>
      </c>
      <c r="N24" s="728">
        <v>0</v>
      </c>
      <c r="O24" s="728">
        <v>0</v>
      </c>
      <c r="P24" s="728">
        <v>0</v>
      </c>
    </row>
    <row r="25" spans="1:16" outlineLevel="2" x14ac:dyDescent="0.3">
      <c r="A25" t="s">
        <v>553</v>
      </c>
      <c r="B25" s="728">
        <v>8586679</v>
      </c>
      <c r="C25" s="728">
        <v>0</v>
      </c>
      <c r="D25" s="728">
        <v>974063.37</v>
      </c>
      <c r="E25" s="728">
        <v>0</v>
      </c>
      <c r="F25" s="703">
        <f t="shared" si="0"/>
        <v>974063.37</v>
      </c>
      <c r="G25" s="728">
        <v>400106.38</v>
      </c>
      <c r="H25" s="703"/>
      <c r="I25" s="703"/>
      <c r="J25" s="728">
        <v>7212509.25</v>
      </c>
      <c r="K25" s="728">
        <v>5187929.25</v>
      </c>
      <c r="L25" s="728">
        <v>0</v>
      </c>
      <c r="M25" s="728">
        <v>0</v>
      </c>
      <c r="N25" s="728">
        <v>0</v>
      </c>
      <c r="O25" s="728">
        <v>0</v>
      </c>
      <c r="P25" s="728">
        <v>0</v>
      </c>
    </row>
    <row r="26" spans="1:16" outlineLevel="2" x14ac:dyDescent="0.3">
      <c r="A26" t="s">
        <v>499</v>
      </c>
      <c r="B26" s="728">
        <v>49160</v>
      </c>
      <c r="C26" s="728">
        <v>0</v>
      </c>
      <c r="D26" s="728">
        <v>4520</v>
      </c>
      <c r="E26" s="728">
        <v>0</v>
      </c>
      <c r="F26" s="703">
        <f t="shared" si="0"/>
        <v>4520</v>
      </c>
      <c r="G26" s="728">
        <v>7770</v>
      </c>
      <c r="H26" s="703"/>
      <c r="I26" s="703"/>
      <c r="J26" s="728">
        <v>36870</v>
      </c>
      <c r="K26" s="728">
        <v>12290</v>
      </c>
      <c r="L26" s="728">
        <v>0</v>
      </c>
      <c r="M26" s="728">
        <v>0</v>
      </c>
      <c r="N26" s="728">
        <v>0</v>
      </c>
      <c r="O26" s="728">
        <v>0</v>
      </c>
      <c r="P26" s="728">
        <v>0</v>
      </c>
    </row>
    <row r="27" spans="1:16" outlineLevel="2" x14ac:dyDescent="0.3">
      <c r="A27" t="s">
        <v>500</v>
      </c>
      <c r="B27" s="728">
        <v>537519</v>
      </c>
      <c r="C27" s="728">
        <v>0</v>
      </c>
      <c r="D27" s="728">
        <v>146979.75</v>
      </c>
      <c r="E27" s="728">
        <v>0</v>
      </c>
      <c r="F27" s="703">
        <f t="shared" si="0"/>
        <v>146979.75</v>
      </c>
      <c r="G27" s="728">
        <v>287400</v>
      </c>
      <c r="H27" s="703"/>
      <c r="I27" s="703"/>
      <c r="J27" s="728">
        <v>103139.25</v>
      </c>
      <c r="K27" s="728">
        <v>103139.25</v>
      </c>
      <c r="L27" s="728">
        <v>0</v>
      </c>
      <c r="M27" s="728">
        <v>0</v>
      </c>
      <c r="N27" s="728">
        <v>0</v>
      </c>
      <c r="O27" s="728">
        <v>0</v>
      </c>
      <c r="P27" s="728">
        <v>0</v>
      </c>
    </row>
    <row r="28" spans="1:16" outlineLevel="2" x14ac:dyDescent="0.3">
      <c r="A28" t="s">
        <v>501</v>
      </c>
      <c r="B28" s="728">
        <v>4000000</v>
      </c>
      <c r="C28" s="728">
        <v>0</v>
      </c>
      <c r="D28" s="728">
        <v>0</v>
      </c>
      <c r="E28" s="728">
        <v>0</v>
      </c>
      <c r="F28" s="703">
        <f t="shared" si="0"/>
        <v>0</v>
      </c>
      <c r="G28" s="728">
        <v>0</v>
      </c>
      <c r="H28" s="703"/>
      <c r="I28" s="703"/>
      <c r="J28" s="728">
        <v>4000000</v>
      </c>
      <c r="K28" s="728">
        <v>4000000</v>
      </c>
      <c r="L28" s="728">
        <v>0</v>
      </c>
      <c r="M28" s="728">
        <v>0</v>
      </c>
      <c r="N28" s="728">
        <v>0</v>
      </c>
      <c r="O28" s="728">
        <v>0</v>
      </c>
      <c r="P28" s="728">
        <v>0</v>
      </c>
    </row>
    <row r="29" spans="1:16" outlineLevel="2" x14ac:dyDescent="0.3">
      <c r="A29" t="s">
        <v>502</v>
      </c>
      <c r="B29" s="728">
        <v>4000000</v>
      </c>
      <c r="C29" s="728">
        <v>0</v>
      </c>
      <c r="D29" s="728">
        <v>822563.62</v>
      </c>
      <c r="E29" s="728">
        <v>0</v>
      </c>
      <c r="F29" s="703">
        <f t="shared" si="0"/>
        <v>822563.62</v>
      </c>
      <c r="G29" s="728">
        <v>104936.38</v>
      </c>
      <c r="H29" s="703"/>
      <c r="I29" s="703"/>
      <c r="J29" s="728">
        <v>3072500</v>
      </c>
      <c r="K29" s="728">
        <v>1072500</v>
      </c>
      <c r="L29" s="728">
        <v>0</v>
      </c>
      <c r="M29" s="728">
        <v>0</v>
      </c>
      <c r="N29" s="728">
        <v>0</v>
      </c>
      <c r="O29" s="728">
        <v>0</v>
      </c>
      <c r="P29" s="728">
        <v>0</v>
      </c>
    </row>
    <row r="30" spans="1:16" outlineLevel="2" x14ac:dyDescent="0.3">
      <c r="A30" t="s">
        <v>554</v>
      </c>
      <c r="B30" s="728">
        <v>9000000</v>
      </c>
      <c r="C30" s="728">
        <v>0</v>
      </c>
      <c r="D30" s="728">
        <v>4565608</v>
      </c>
      <c r="E30" s="728">
        <v>0</v>
      </c>
      <c r="F30" s="703">
        <f t="shared" si="0"/>
        <v>4565608</v>
      </c>
      <c r="G30" s="728">
        <v>1131187</v>
      </c>
      <c r="H30" s="703"/>
      <c r="I30" s="703"/>
      <c r="J30" s="728">
        <v>3303205</v>
      </c>
      <c r="K30" s="728">
        <v>336705.95</v>
      </c>
      <c r="L30" s="728">
        <v>0</v>
      </c>
      <c r="M30" s="728">
        <v>0</v>
      </c>
      <c r="N30" s="728">
        <v>0</v>
      </c>
      <c r="O30" s="728">
        <v>0</v>
      </c>
      <c r="P30" s="728">
        <v>0</v>
      </c>
    </row>
    <row r="31" spans="1:16" outlineLevel="2" x14ac:dyDescent="0.3">
      <c r="A31" t="s">
        <v>503</v>
      </c>
      <c r="B31" s="728">
        <v>9000000</v>
      </c>
      <c r="C31" s="728">
        <v>0</v>
      </c>
      <c r="D31" s="728">
        <v>4565608</v>
      </c>
      <c r="E31" s="728">
        <v>0</v>
      </c>
      <c r="F31" s="703">
        <f t="shared" si="0"/>
        <v>4565608</v>
      </c>
      <c r="G31" s="728">
        <v>1131187</v>
      </c>
      <c r="H31" s="703"/>
      <c r="I31" s="703"/>
      <c r="J31" s="728">
        <v>3303205</v>
      </c>
      <c r="K31" s="728">
        <v>336705.95</v>
      </c>
      <c r="L31" s="728">
        <v>0</v>
      </c>
      <c r="M31" s="728">
        <v>0</v>
      </c>
      <c r="N31" s="728">
        <v>0</v>
      </c>
      <c r="O31" s="728">
        <v>0</v>
      </c>
      <c r="P31" s="728">
        <v>0</v>
      </c>
    </row>
    <row r="32" spans="1:16" outlineLevel="2" x14ac:dyDescent="0.3">
      <c r="A32" t="s">
        <v>663</v>
      </c>
      <c r="B32" s="728">
        <v>1900000</v>
      </c>
      <c r="C32" s="728">
        <v>0</v>
      </c>
      <c r="D32" s="728">
        <v>0</v>
      </c>
      <c r="E32" s="728">
        <v>0</v>
      </c>
      <c r="F32" s="703">
        <f t="shared" si="0"/>
        <v>0</v>
      </c>
      <c r="G32" s="728">
        <v>0</v>
      </c>
      <c r="H32" s="703"/>
      <c r="I32" s="703"/>
      <c r="J32" s="728">
        <v>1900000</v>
      </c>
      <c r="K32" s="728">
        <v>1900000</v>
      </c>
      <c r="L32" s="728">
        <v>0</v>
      </c>
      <c r="M32" s="728">
        <v>0</v>
      </c>
      <c r="N32" s="728">
        <v>0</v>
      </c>
      <c r="O32" s="728">
        <v>0</v>
      </c>
      <c r="P32" s="728">
        <v>0</v>
      </c>
    </row>
    <row r="33" spans="1:16" outlineLevel="2" x14ac:dyDescent="0.3">
      <c r="A33" t="s">
        <v>508</v>
      </c>
      <c r="B33" s="728">
        <v>1900000</v>
      </c>
      <c r="C33" s="728">
        <v>0</v>
      </c>
      <c r="D33" s="728">
        <v>0</v>
      </c>
      <c r="E33" s="728">
        <v>0</v>
      </c>
      <c r="F33" s="703">
        <f t="shared" si="0"/>
        <v>0</v>
      </c>
      <c r="G33" s="728">
        <v>0</v>
      </c>
      <c r="H33" s="703"/>
      <c r="I33" s="703"/>
      <c r="J33" s="728">
        <v>1900000</v>
      </c>
      <c r="K33" s="728">
        <v>1900000</v>
      </c>
      <c r="L33" s="728">
        <v>0</v>
      </c>
      <c r="M33" s="728">
        <v>0</v>
      </c>
      <c r="N33" s="728">
        <v>0</v>
      </c>
      <c r="O33" s="728">
        <v>0</v>
      </c>
      <c r="P33" s="728">
        <v>0</v>
      </c>
    </row>
    <row r="34" spans="1:16" outlineLevel="2" x14ac:dyDescent="0.3">
      <c r="A34" t="s">
        <v>555</v>
      </c>
      <c r="B34" s="728">
        <v>350000</v>
      </c>
      <c r="C34" s="728">
        <v>0</v>
      </c>
      <c r="D34" s="728">
        <v>0</v>
      </c>
      <c r="E34" s="728">
        <v>0</v>
      </c>
      <c r="F34" s="703">
        <f t="shared" si="0"/>
        <v>0</v>
      </c>
      <c r="G34" s="728">
        <v>0</v>
      </c>
      <c r="H34" s="703"/>
      <c r="I34" s="703"/>
      <c r="J34" s="728">
        <v>350000</v>
      </c>
      <c r="K34" s="728">
        <v>0</v>
      </c>
      <c r="L34" s="728">
        <v>0</v>
      </c>
      <c r="M34" s="728">
        <v>0</v>
      </c>
      <c r="N34" s="728">
        <v>0</v>
      </c>
      <c r="O34" s="728">
        <v>0</v>
      </c>
      <c r="P34" s="728">
        <v>0</v>
      </c>
    </row>
    <row r="35" spans="1:16" outlineLevel="2" x14ac:dyDescent="0.3">
      <c r="A35" t="s">
        <v>514</v>
      </c>
      <c r="B35" s="728">
        <v>350000</v>
      </c>
      <c r="C35" s="728">
        <v>0</v>
      </c>
      <c r="D35" s="728">
        <v>0</v>
      </c>
      <c r="E35" s="728">
        <v>0</v>
      </c>
      <c r="F35" s="703">
        <f t="shared" si="0"/>
        <v>0</v>
      </c>
      <c r="G35" s="728">
        <v>0</v>
      </c>
      <c r="H35" s="703"/>
      <c r="I35" s="703"/>
      <c r="J35" s="728">
        <v>350000</v>
      </c>
      <c r="K35" s="728">
        <v>0</v>
      </c>
      <c r="L35" s="728">
        <v>0</v>
      </c>
      <c r="M35" s="728">
        <v>0</v>
      </c>
      <c r="N35" s="728">
        <v>0</v>
      </c>
      <c r="O35" s="728">
        <v>0</v>
      </c>
      <c r="P35" s="728">
        <v>0</v>
      </c>
    </row>
    <row r="36" spans="1:16" outlineLevel="2" x14ac:dyDescent="0.3">
      <c r="A36" t="s">
        <v>556</v>
      </c>
      <c r="B36" s="728">
        <v>1933200</v>
      </c>
      <c r="C36" s="728">
        <v>0</v>
      </c>
      <c r="D36" s="728">
        <v>165800</v>
      </c>
      <c r="E36" s="728">
        <v>0</v>
      </c>
      <c r="F36" s="703">
        <f t="shared" si="0"/>
        <v>165800</v>
      </c>
      <c r="G36" s="728">
        <v>80000</v>
      </c>
      <c r="H36" s="703"/>
      <c r="I36" s="703"/>
      <c r="J36" s="728">
        <v>1687400</v>
      </c>
      <c r="K36" s="728">
        <v>695800</v>
      </c>
      <c r="L36" s="728">
        <v>0</v>
      </c>
      <c r="M36" s="728">
        <v>0</v>
      </c>
      <c r="N36" s="728">
        <v>0</v>
      </c>
      <c r="O36" s="728">
        <v>0</v>
      </c>
      <c r="P36" s="728">
        <v>0</v>
      </c>
    </row>
    <row r="37" spans="1:16" outlineLevel="2" x14ac:dyDescent="0.3">
      <c r="A37" t="s">
        <v>557</v>
      </c>
      <c r="B37" s="728">
        <v>983200</v>
      </c>
      <c r="C37" s="728">
        <v>0</v>
      </c>
      <c r="D37" s="728">
        <v>165800</v>
      </c>
      <c r="E37" s="728">
        <v>0</v>
      </c>
      <c r="F37" s="703">
        <f t="shared" si="0"/>
        <v>165800</v>
      </c>
      <c r="G37" s="728">
        <v>80000</v>
      </c>
      <c r="H37" s="703"/>
      <c r="I37" s="703"/>
      <c r="J37" s="728">
        <v>737400</v>
      </c>
      <c r="K37" s="728">
        <v>245800</v>
      </c>
      <c r="L37" s="728">
        <v>0</v>
      </c>
      <c r="M37" s="728">
        <v>0</v>
      </c>
      <c r="N37" s="728">
        <v>0</v>
      </c>
      <c r="O37" s="728">
        <v>0</v>
      </c>
      <c r="P37" s="728">
        <v>0</v>
      </c>
    </row>
    <row r="38" spans="1:16" outlineLevel="2" x14ac:dyDescent="0.3">
      <c r="A38" t="s">
        <v>516</v>
      </c>
      <c r="B38" s="728">
        <v>983200</v>
      </c>
      <c r="C38" s="728">
        <v>0</v>
      </c>
      <c r="D38" s="728">
        <v>165800</v>
      </c>
      <c r="E38" s="728">
        <v>0</v>
      </c>
      <c r="F38" s="703">
        <f t="shared" si="0"/>
        <v>165800</v>
      </c>
      <c r="G38" s="728">
        <v>80000</v>
      </c>
      <c r="H38" s="703"/>
      <c r="I38" s="703"/>
      <c r="J38" s="728">
        <v>737400</v>
      </c>
      <c r="K38" s="728">
        <v>245800</v>
      </c>
      <c r="L38" s="728">
        <v>0</v>
      </c>
      <c r="M38" s="728">
        <v>0</v>
      </c>
      <c r="N38" s="728">
        <v>0</v>
      </c>
      <c r="O38" s="728">
        <v>0</v>
      </c>
      <c r="P38" s="728">
        <v>0</v>
      </c>
    </row>
    <row r="39" spans="1:16" outlineLevel="2" x14ac:dyDescent="0.3">
      <c r="A39" t="s">
        <v>655</v>
      </c>
      <c r="B39" s="728">
        <v>950000</v>
      </c>
      <c r="C39" s="728">
        <v>0</v>
      </c>
      <c r="D39" s="728">
        <v>0</v>
      </c>
      <c r="E39" s="728">
        <v>0</v>
      </c>
      <c r="F39" s="703">
        <f t="shared" si="0"/>
        <v>0</v>
      </c>
      <c r="G39" s="728">
        <v>0</v>
      </c>
      <c r="H39" s="703"/>
      <c r="I39" s="703"/>
      <c r="J39" s="728">
        <v>950000</v>
      </c>
      <c r="K39" s="728">
        <v>450000</v>
      </c>
      <c r="L39" s="728">
        <v>0</v>
      </c>
      <c r="M39" s="728">
        <v>0</v>
      </c>
      <c r="N39" s="728">
        <v>0</v>
      </c>
      <c r="O39" s="728">
        <v>0</v>
      </c>
      <c r="P39" s="728">
        <v>0</v>
      </c>
    </row>
    <row r="40" spans="1:16" outlineLevel="2" x14ac:dyDescent="0.3">
      <c r="A40" t="s">
        <v>521</v>
      </c>
      <c r="B40" s="728">
        <v>950000</v>
      </c>
      <c r="C40" s="728">
        <v>0</v>
      </c>
      <c r="D40" s="728">
        <v>0</v>
      </c>
      <c r="E40" s="728">
        <v>0</v>
      </c>
      <c r="F40" s="703">
        <f t="shared" si="0"/>
        <v>0</v>
      </c>
      <c r="G40" s="728">
        <v>0</v>
      </c>
      <c r="H40" s="703"/>
      <c r="I40" s="703"/>
      <c r="J40" s="728">
        <v>950000</v>
      </c>
      <c r="K40" s="728">
        <v>450000</v>
      </c>
      <c r="L40" s="728">
        <v>0</v>
      </c>
      <c r="M40" s="728">
        <v>0</v>
      </c>
      <c r="N40" s="728">
        <v>0</v>
      </c>
      <c r="O40" s="728">
        <v>0</v>
      </c>
      <c r="P40" s="728">
        <v>0</v>
      </c>
    </row>
    <row r="41" spans="1:16" outlineLevel="2" x14ac:dyDescent="0.3">
      <c r="A41" t="s">
        <v>558</v>
      </c>
      <c r="B41" s="728">
        <v>170101680</v>
      </c>
      <c r="C41" s="728">
        <v>0</v>
      </c>
      <c r="D41" s="728">
        <v>19168954</v>
      </c>
      <c r="E41" s="728">
        <v>0</v>
      </c>
      <c r="F41" s="703">
        <f t="shared" si="0"/>
        <v>19168954</v>
      </c>
      <c r="G41" s="728">
        <v>111480538.05</v>
      </c>
      <c r="H41" s="703"/>
      <c r="I41" s="703"/>
      <c r="J41" s="728">
        <v>39452187.950000003</v>
      </c>
      <c r="K41" s="728">
        <v>28396548.75</v>
      </c>
      <c r="L41" s="728">
        <v>51522224</v>
      </c>
      <c r="M41" s="881">
        <v>-722312</v>
      </c>
      <c r="N41" s="728">
        <v>0</v>
      </c>
      <c r="O41" s="728">
        <v>0</v>
      </c>
      <c r="P41" s="728">
        <v>0</v>
      </c>
    </row>
    <row r="42" spans="1:16" outlineLevel="2" x14ac:dyDescent="0.3">
      <c r="A42" t="s">
        <v>559</v>
      </c>
      <c r="B42" s="728">
        <v>23871751</v>
      </c>
      <c r="C42" s="728">
        <v>0</v>
      </c>
      <c r="D42" s="728">
        <v>15502454.949999999</v>
      </c>
      <c r="E42" s="728">
        <v>0</v>
      </c>
      <c r="F42" s="703">
        <f t="shared" si="0"/>
        <v>15502454.949999999</v>
      </c>
      <c r="G42" s="728">
        <v>5597545.0499999998</v>
      </c>
      <c r="H42" s="703"/>
      <c r="I42" s="703"/>
      <c r="J42" s="728">
        <v>2771751</v>
      </c>
      <c r="K42" s="728">
        <v>2049439</v>
      </c>
      <c r="L42" s="728">
        <v>0</v>
      </c>
      <c r="M42" s="881">
        <v>-722312</v>
      </c>
      <c r="N42" s="728">
        <v>0</v>
      </c>
      <c r="O42" s="728">
        <v>0</v>
      </c>
      <c r="P42" s="728">
        <v>0</v>
      </c>
    </row>
    <row r="43" spans="1:16" outlineLevel="2" x14ac:dyDescent="0.3">
      <c r="A43" t="s">
        <v>529</v>
      </c>
      <c r="B43" s="728">
        <v>20592664</v>
      </c>
      <c r="C43" s="728">
        <v>0</v>
      </c>
      <c r="D43" s="728">
        <v>13207484.92</v>
      </c>
      <c r="E43" s="728">
        <v>0</v>
      </c>
      <c r="F43" s="727">
        <f t="shared" si="0"/>
        <v>13207484.92</v>
      </c>
      <c r="G43" s="728">
        <v>4792515.08</v>
      </c>
      <c r="H43" s="703"/>
      <c r="I43" s="703"/>
      <c r="J43" s="728">
        <v>2592664</v>
      </c>
      <c r="K43" s="728">
        <v>1969571</v>
      </c>
      <c r="L43" s="728">
        <v>0</v>
      </c>
      <c r="M43" s="881">
        <v>-623093</v>
      </c>
      <c r="N43" s="728">
        <v>0</v>
      </c>
      <c r="O43" s="728">
        <v>0</v>
      </c>
      <c r="P43" s="728">
        <v>0</v>
      </c>
    </row>
    <row r="44" spans="1:16" outlineLevel="2" x14ac:dyDescent="0.3">
      <c r="A44" t="s">
        <v>530</v>
      </c>
      <c r="B44" s="728">
        <v>3279087</v>
      </c>
      <c r="C44" s="728">
        <v>0</v>
      </c>
      <c r="D44" s="728">
        <v>2294970.0299999998</v>
      </c>
      <c r="E44" s="728">
        <v>0</v>
      </c>
      <c r="F44" s="703">
        <f t="shared" si="0"/>
        <v>2294970.0299999998</v>
      </c>
      <c r="G44" s="728">
        <v>805029.97</v>
      </c>
      <c r="H44" s="703"/>
      <c r="I44" s="703"/>
      <c r="J44" s="728">
        <v>179087</v>
      </c>
      <c r="K44" s="728">
        <v>79868</v>
      </c>
      <c r="L44" s="728">
        <v>0</v>
      </c>
      <c r="M44" s="881">
        <v>-99219</v>
      </c>
      <c r="N44" s="728">
        <v>0</v>
      </c>
      <c r="O44" s="728">
        <v>0</v>
      </c>
      <c r="P44" s="728">
        <v>0</v>
      </c>
    </row>
    <row r="45" spans="1:16" outlineLevel="2" x14ac:dyDescent="0.3">
      <c r="A45" t="s">
        <v>560</v>
      </c>
      <c r="B45" s="728">
        <v>41874064</v>
      </c>
      <c r="C45" s="728">
        <v>0</v>
      </c>
      <c r="D45" s="728">
        <v>3666499.05</v>
      </c>
      <c r="E45" s="728">
        <v>0</v>
      </c>
      <c r="F45" s="703">
        <f t="shared" si="0"/>
        <v>3666499.05</v>
      </c>
      <c r="G45" s="728">
        <v>1527128</v>
      </c>
      <c r="H45" s="703"/>
      <c r="I45" s="703"/>
      <c r="J45" s="728">
        <v>36680436.950000003</v>
      </c>
      <c r="K45" s="728">
        <v>26347109.75</v>
      </c>
      <c r="L45" s="728">
        <v>0</v>
      </c>
      <c r="M45" s="728">
        <v>0</v>
      </c>
      <c r="N45" s="728">
        <v>0</v>
      </c>
      <c r="O45" s="728">
        <v>0</v>
      </c>
      <c r="P45" s="728">
        <v>0</v>
      </c>
    </row>
    <row r="46" spans="1:16" outlineLevel="2" x14ac:dyDescent="0.3">
      <c r="A46" t="s">
        <v>531</v>
      </c>
      <c r="B46" s="728">
        <v>35956067</v>
      </c>
      <c r="C46" s="728">
        <v>0</v>
      </c>
      <c r="D46" s="728">
        <v>3666499.05</v>
      </c>
      <c r="E46" s="728">
        <v>0</v>
      </c>
      <c r="F46" s="703">
        <f t="shared" si="0"/>
        <v>3666499.05</v>
      </c>
      <c r="G46" s="728">
        <v>0</v>
      </c>
      <c r="H46" s="703"/>
      <c r="I46" s="703"/>
      <c r="J46" s="728">
        <v>32289567.949999999</v>
      </c>
      <c r="K46" s="728">
        <v>21956240.75</v>
      </c>
      <c r="L46" s="728">
        <v>0</v>
      </c>
      <c r="M46" s="728">
        <v>0</v>
      </c>
      <c r="N46" s="728">
        <v>0</v>
      </c>
      <c r="O46" s="728">
        <v>0</v>
      </c>
      <c r="P46" s="728">
        <v>0</v>
      </c>
    </row>
    <row r="47" spans="1:16" outlineLevel="2" x14ac:dyDescent="0.3">
      <c r="A47" t="s">
        <v>532</v>
      </c>
      <c r="B47" s="728">
        <v>5917997</v>
      </c>
      <c r="C47" s="728">
        <v>0</v>
      </c>
      <c r="D47" s="728">
        <v>0</v>
      </c>
      <c r="E47" s="728">
        <v>0</v>
      </c>
      <c r="F47" s="703">
        <f t="shared" si="0"/>
        <v>0</v>
      </c>
      <c r="G47" s="728">
        <v>1527128</v>
      </c>
      <c r="H47" s="703"/>
      <c r="I47" s="703"/>
      <c r="J47" s="728">
        <v>4390869</v>
      </c>
      <c r="K47" s="728">
        <v>4390869</v>
      </c>
      <c r="L47" s="728">
        <v>0</v>
      </c>
      <c r="M47" s="728">
        <v>0</v>
      </c>
      <c r="N47" s="728">
        <v>0</v>
      </c>
      <c r="O47" s="728">
        <v>0</v>
      </c>
      <c r="P47" s="728">
        <v>0</v>
      </c>
    </row>
    <row r="48" spans="1:16" outlineLevel="2" x14ac:dyDescent="0.3">
      <c r="A48" t="s">
        <v>667</v>
      </c>
      <c r="B48" s="728">
        <v>0</v>
      </c>
      <c r="C48" s="728">
        <v>0</v>
      </c>
      <c r="D48" s="728">
        <v>0</v>
      </c>
      <c r="E48" s="728">
        <v>0</v>
      </c>
      <c r="F48" s="703">
        <f t="shared" si="0"/>
        <v>0</v>
      </c>
      <c r="G48" s="728">
        <v>0</v>
      </c>
      <c r="H48" s="703"/>
      <c r="I48" s="703"/>
      <c r="J48" s="728">
        <v>0</v>
      </c>
      <c r="K48" s="728">
        <v>0</v>
      </c>
      <c r="L48" s="728">
        <v>51522224</v>
      </c>
      <c r="M48" s="728">
        <v>0</v>
      </c>
      <c r="N48" s="728">
        <v>0</v>
      </c>
      <c r="O48" s="728">
        <v>0</v>
      </c>
      <c r="P48" s="728">
        <v>0</v>
      </c>
    </row>
    <row r="49" spans="1:16" outlineLevel="2" x14ac:dyDescent="0.3">
      <c r="A49" t="s">
        <v>533</v>
      </c>
      <c r="B49" s="728">
        <v>0</v>
      </c>
      <c r="C49" s="728">
        <v>0</v>
      </c>
      <c r="D49" s="728">
        <v>0</v>
      </c>
      <c r="E49" s="728">
        <v>0</v>
      </c>
      <c r="F49" s="703">
        <f t="shared" si="0"/>
        <v>0</v>
      </c>
      <c r="G49" s="728">
        <v>0</v>
      </c>
      <c r="H49" s="703"/>
      <c r="I49" s="703"/>
      <c r="J49" s="728">
        <v>0</v>
      </c>
      <c r="K49" s="728">
        <v>0</v>
      </c>
      <c r="L49" s="728">
        <v>51522224</v>
      </c>
      <c r="M49" s="728">
        <v>0</v>
      </c>
      <c r="N49" s="728">
        <v>0</v>
      </c>
      <c r="O49" s="728">
        <v>0</v>
      </c>
      <c r="P49" s="728">
        <v>0</v>
      </c>
    </row>
    <row r="50" spans="1:16" outlineLevel="2" x14ac:dyDescent="0.3">
      <c r="A50" t="s">
        <v>561</v>
      </c>
      <c r="B50" s="728">
        <v>104355865</v>
      </c>
      <c r="C50" s="728">
        <v>0</v>
      </c>
      <c r="D50" s="728">
        <v>0</v>
      </c>
      <c r="E50" s="728">
        <v>0</v>
      </c>
      <c r="F50" s="703">
        <f t="shared" si="0"/>
        <v>0</v>
      </c>
      <c r="G50" s="728">
        <v>104355865</v>
      </c>
      <c r="H50" s="703"/>
      <c r="I50" s="703"/>
      <c r="J50" s="728">
        <v>0</v>
      </c>
      <c r="K50" s="728">
        <v>0</v>
      </c>
      <c r="L50" s="728">
        <v>0</v>
      </c>
      <c r="M50" s="728">
        <v>0</v>
      </c>
      <c r="N50" s="728">
        <v>0</v>
      </c>
      <c r="O50" s="728">
        <v>0</v>
      </c>
      <c r="P50" s="728">
        <v>0</v>
      </c>
    </row>
    <row r="51" spans="1:16" outlineLevel="2" x14ac:dyDescent="0.3">
      <c r="A51" t="s">
        <v>534</v>
      </c>
      <c r="B51" s="728">
        <v>73619066</v>
      </c>
      <c r="C51" s="728">
        <v>0</v>
      </c>
      <c r="D51" s="728">
        <v>0</v>
      </c>
      <c r="E51" s="728">
        <v>0</v>
      </c>
      <c r="F51" s="703"/>
      <c r="G51" s="728">
        <v>73619066</v>
      </c>
      <c r="H51" s="703"/>
      <c r="I51" s="703"/>
      <c r="J51" s="728">
        <v>0</v>
      </c>
      <c r="K51" s="728">
        <v>0</v>
      </c>
      <c r="L51" s="728">
        <v>0</v>
      </c>
      <c r="M51" s="728">
        <v>0</v>
      </c>
      <c r="N51" s="728"/>
      <c r="O51" s="703"/>
      <c r="P51" s="703"/>
    </row>
    <row r="52" spans="1:16" outlineLevel="2" x14ac:dyDescent="0.3">
      <c r="A52" t="s">
        <v>535</v>
      </c>
      <c r="B52" s="728">
        <v>30736799</v>
      </c>
      <c r="C52" s="728">
        <v>0</v>
      </c>
      <c r="D52" s="728">
        <v>0</v>
      </c>
      <c r="E52" s="728">
        <v>0</v>
      </c>
      <c r="F52" s="703"/>
      <c r="G52" s="728">
        <v>30736799</v>
      </c>
      <c r="H52" s="703"/>
      <c r="I52" s="703"/>
      <c r="J52" s="728">
        <v>0</v>
      </c>
      <c r="K52" s="728">
        <v>0</v>
      </c>
      <c r="L52" s="728">
        <v>0</v>
      </c>
      <c r="M52" s="728">
        <v>0</v>
      </c>
      <c r="N52" s="728"/>
      <c r="O52" s="703"/>
      <c r="P52" s="708"/>
    </row>
    <row r="53" spans="1:16" outlineLevel="2" x14ac:dyDescent="0.3">
      <c r="A53"/>
      <c r="B53" s="728"/>
      <c r="C53" s="728"/>
      <c r="D53" s="728"/>
      <c r="E53" s="728"/>
      <c r="F53" s="703"/>
      <c r="G53" s="728"/>
      <c r="H53" s="703"/>
      <c r="I53" s="703"/>
      <c r="J53" s="728"/>
      <c r="K53" s="703"/>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workbookViewId="0">
      <selection activeCell="V11" sqref="V11:Y17"/>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23" t="str">
        <f>'PPTO AL 31 MARZO 2023'!A2:BF2</f>
        <v>EJERCICIO ECONÓMICO 2023</v>
      </c>
      <c r="B1" s="824"/>
      <c r="C1" s="824"/>
      <c r="D1" s="824"/>
      <c r="E1" s="824"/>
      <c r="F1" s="824"/>
      <c r="G1" s="824"/>
      <c r="H1" s="824"/>
      <c r="I1" s="824"/>
      <c r="J1" s="824"/>
      <c r="K1" s="824"/>
      <c r="L1" s="824"/>
      <c r="M1" s="824"/>
      <c r="N1" s="824"/>
      <c r="O1" s="824"/>
      <c r="P1" s="824"/>
      <c r="Q1" s="824"/>
      <c r="R1" s="824"/>
      <c r="S1" s="824"/>
      <c r="T1" s="824"/>
      <c r="U1" s="824"/>
      <c r="V1" s="824"/>
      <c r="W1" s="824"/>
      <c r="X1" s="824"/>
      <c r="Y1" s="824"/>
      <c r="Z1" s="824"/>
      <c r="AA1" s="825"/>
    </row>
    <row r="2" spans="1:27" ht="12" x14ac:dyDescent="0.25">
      <c r="A2" s="826" t="str">
        <f>'PPTO AL 31 MARZO 2023'!A3:BF3</f>
        <v>-En colones-</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8"/>
    </row>
    <row r="3" spans="1:27" ht="12" x14ac:dyDescent="0.25">
      <c r="A3" s="826" t="str">
        <f>'PPTO AL 31 MARZO 2023'!A4:BF4</f>
        <v>Código y Nombre del Título: 218 - Ministerio de Ciencia, Tecnología y Telecomunicaciones</v>
      </c>
      <c r="B3" s="827"/>
      <c r="C3" s="827"/>
      <c r="D3" s="827"/>
      <c r="E3" s="827"/>
      <c r="F3" s="827"/>
      <c r="G3" s="827"/>
      <c r="H3" s="827"/>
      <c r="I3" s="827"/>
      <c r="J3" s="827"/>
      <c r="K3" s="827"/>
      <c r="L3" s="827"/>
      <c r="M3" s="827"/>
      <c r="N3" s="827"/>
      <c r="O3" s="827"/>
      <c r="P3" s="827"/>
      <c r="Q3" s="827"/>
      <c r="R3" s="827"/>
      <c r="S3" s="827"/>
      <c r="T3" s="827"/>
      <c r="U3" s="827"/>
      <c r="V3" s="827"/>
      <c r="W3" s="827"/>
      <c r="X3" s="827"/>
      <c r="Y3" s="827"/>
      <c r="Z3" s="827"/>
      <c r="AA3" s="828"/>
    </row>
    <row r="4" spans="1:27" ht="12" x14ac:dyDescent="0.25">
      <c r="A4" s="829" t="str">
        <f>'PPTO AL 31 MARZO 2023'!A5:BF5</f>
        <v>PROGRAMA 899 RECTORÍA DEL SECTOR TELECOMUNICACIONES</v>
      </c>
      <c r="B4" s="830"/>
      <c r="C4" s="830"/>
      <c r="D4" s="830"/>
      <c r="E4" s="830"/>
      <c r="F4" s="830"/>
      <c r="G4" s="830"/>
      <c r="H4" s="830"/>
      <c r="I4" s="830"/>
      <c r="J4" s="830"/>
      <c r="K4" s="830"/>
      <c r="L4" s="830"/>
      <c r="M4" s="830"/>
      <c r="N4" s="830"/>
      <c r="O4" s="830"/>
      <c r="P4" s="830"/>
      <c r="Q4" s="830"/>
      <c r="R4" s="830"/>
      <c r="S4" s="830"/>
      <c r="T4" s="830"/>
      <c r="U4" s="830"/>
      <c r="V4" s="830"/>
      <c r="W4" s="830"/>
      <c r="X4" s="830"/>
      <c r="Y4" s="830"/>
      <c r="Z4" s="830"/>
      <c r="AA4" s="831"/>
    </row>
    <row r="5" spans="1:27" ht="15.75" customHeight="1" thickBot="1" x14ac:dyDescent="0.3">
      <c r="A5" s="832" t="s">
        <v>666</v>
      </c>
      <c r="B5" s="833"/>
      <c r="C5" s="833"/>
      <c r="D5" s="833"/>
      <c r="E5" s="833"/>
      <c r="F5" s="833"/>
      <c r="G5" s="833"/>
      <c r="H5" s="833"/>
      <c r="I5" s="833"/>
      <c r="J5" s="833"/>
      <c r="K5" s="833"/>
      <c r="L5" s="833"/>
      <c r="M5" s="833"/>
      <c r="N5" s="833"/>
      <c r="O5" s="833"/>
      <c r="P5" s="833"/>
      <c r="Q5" s="833"/>
      <c r="R5" s="833"/>
      <c r="S5" s="833"/>
      <c r="T5" s="833"/>
      <c r="U5" s="833"/>
      <c r="V5" s="833"/>
      <c r="W5" s="833"/>
      <c r="X5" s="833"/>
      <c r="Y5" s="833"/>
      <c r="Z5" s="833"/>
      <c r="AA5" s="834"/>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16" t="s">
        <v>4</v>
      </c>
      <c r="B7" s="817"/>
      <c r="C7" s="506">
        <v>6400000000</v>
      </c>
      <c r="D7" s="506"/>
      <c r="E7" s="818" t="s">
        <v>5</v>
      </c>
      <c r="F7" s="818"/>
      <c r="G7" s="819" t="s">
        <v>310</v>
      </c>
      <c r="H7" s="819" t="s">
        <v>300</v>
      </c>
      <c r="I7" s="819"/>
      <c r="J7" s="819" t="s">
        <v>304</v>
      </c>
      <c r="K7" s="819"/>
      <c r="L7" s="819" t="s">
        <v>305</v>
      </c>
      <c r="M7" s="819"/>
      <c r="N7" s="819" t="s">
        <v>306</v>
      </c>
      <c r="O7" s="819"/>
      <c r="P7" s="819" t="s">
        <v>307</v>
      </c>
      <c r="Q7" s="819"/>
      <c r="R7" s="507" t="s">
        <v>309</v>
      </c>
      <c r="S7" s="507" t="s">
        <v>308</v>
      </c>
      <c r="T7" s="819" t="s">
        <v>303</v>
      </c>
      <c r="U7" s="819"/>
      <c r="V7" s="821" t="s">
        <v>419</v>
      </c>
      <c r="W7" s="821" t="s">
        <v>428</v>
      </c>
      <c r="X7" s="821" t="s">
        <v>312</v>
      </c>
      <c r="Y7" s="821" t="s">
        <v>313</v>
      </c>
      <c r="Z7" s="821" t="s">
        <v>430</v>
      </c>
      <c r="AA7" s="821" t="s">
        <v>429</v>
      </c>
    </row>
    <row r="8" spans="1:27" ht="16.2" customHeight="1" thickBot="1" x14ac:dyDescent="0.3">
      <c r="A8" s="454" t="s">
        <v>6</v>
      </c>
      <c r="B8" s="455" t="s">
        <v>7</v>
      </c>
      <c r="C8" s="508" t="s">
        <v>8</v>
      </c>
      <c r="D8" s="508" t="s">
        <v>3</v>
      </c>
      <c r="E8" s="509" t="s">
        <v>9</v>
      </c>
      <c r="F8" s="510" t="s">
        <v>10</v>
      </c>
      <c r="G8" s="820"/>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22"/>
      <c r="W8" s="822"/>
      <c r="X8" s="822"/>
      <c r="Y8" s="822"/>
      <c r="Z8" s="822"/>
      <c r="AA8" s="822"/>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31 MARZO 2023'!AB13</f>
        <v>1679900770</v>
      </c>
      <c r="D11" s="462">
        <f>'PPTO AL 31 MARZO 2023'!AC13</f>
        <v>0</v>
      </c>
      <c r="E11" s="462">
        <f>'PPTO AL 31 MARZO 2023'!AD13</f>
        <v>0</v>
      </c>
      <c r="F11" s="462">
        <f>'PPTO AL 31 MARZO 2023'!AG13</f>
        <v>0</v>
      </c>
      <c r="G11" s="462">
        <f>'PPTO AL 31 MARZO 2023'!AH13</f>
        <v>1679900770</v>
      </c>
      <c r="H11" s="462">
        <f>'PPTO AL 31 MARZO 2023'!AI13</f>
        <v>0</v>
      </c>
      <c r="I11" s="462">
        <f>'PPTO AL 31 MARZO 2023'!AJ13</f>
        <v>0</v>
      </c>
      <c r="J11" s="462">
        <f>'PPTO AL 31 MARZO 2023'!AK13</f>
        <v>0</v>
      </c>
      <c r="K11" s="462">
        <f>'PPTO AL 31 MARZO 2023'!AL13</f>
        <v>0</v>
      </c>
      <c r="L11" s="462">
        <f>'PPTO AL 31 MARZO 2023'!AM13</f>
        <v>0</v>
      </c>
      <c r="M11" s="462">
        <f>'PPTO AL 31 MARZO 2023'!AN13</f>
        <v>0</v>
      </c>
      <c r="N11" s="462">
        <f>'PPTO AL 31 MARZO 2023'!AO13</f>
        <v>0</v>
      </c>
      <c r="O11" s="462">
        <f>'PPTO AL 31 MARZO 2023'!AP13</f>
        <v>0</v>
      </c>
      <c r="P11" s="462">
        <f>'PPTO AL 31 MARZO 2023'!AQ13</f>
        <v>0</v>
      </c>
      <c r="Q11" s="462">
        <f>'PPTO AL 31 MARZO 2023'!AR13</f>
        <v>0</v>
      </c>
      <c r="R11" s="462">
        <f>'PPTO AL 31 MARZO 2023'!AU13</f>
        <v>0</v>
      </c>
      <c r="S11" s="462">
        <f>'PPTO AL 31 MARZO 2023'!AV13</f>
        <v>0</v>
      </c>
      <c r="T11" s="462">
        <f>'PPTO AL 31 MARZO 2023'!AW13</f>
        <v>0</v>
      </c>
      <c r="U11" s="462">
        <f>'PPTO AL 31 MARZO 2023'!AX13</f>
        <v>0</v>
      </c>
      <c r="V11" s="516">
        <f>+'PPTO AL 31 MARZO 2023'!AY13</f>
        <v>1679900770</v>
      </c>
      <c r="W11" s="516">
        <f>+'PPTO AL 31 MARZO 2023'!AZ13</f>
        <v>384599457.27999997</v>
      </c>
      <c r="X11" s="516">
        <f>+'PPTO AL 31 MARZO 2023'!BA13</f>
        <v>170939717</v>
      </c>
      <c r="Y11" s="516">
        <f>+'PPTO AL 31 MARZO 2023'!BD13</f>
        <v>1124361595.72</v>
      </c>
      <c r="Z11" s="589">
        <f t="shared" ref="Z11:Z17" si="0">(V11-Y11)/V11</f>
        <v>0.33069761274054299</v>
      </c>
      <c r="AA11" s="533">
        <f>W11/V11</f>
        <v>0.22894177093567258</v>
      </c>
    </row>
    <row r="12" spans="1:27" s="52" customFormat="1" ht="12" x14ac:dyDescent="0.25">
      <c r="A12" s="461">
        <v>1</v>
      </c>
      <c r="B12" s="79" t="s">
        <v>46</v>
      </c>
      <c r="C12" s="462">
        <f>'PPTO AL 31 MARZO 2023'!AB47</f>
        <v>76339027</v>
      </c>
      <c r="D12" s="462">
        <f>'PPTO AL 31 MARZO 2023'!AC47</f>
        <v>0</v>
      </c>
      <c r="E12" s="462">
        <f>'PPTO AL 31 MARZO 2023'!AD47</f>
        <v>0</v>
      </c>
      <c r="F12" s="462">
        <f>'PPTO AL 31 MARZO 2023'!AG47</f>
        <v>0</v>
      </c>
      <c r="G12" s="462">
        <f>'PPTO AL 31 MARZO 2023'!AH47</f>
        <v>76339027</v>
      </c>
      <c r="H12" s="462">
        <f>'PPTO AL 31 MARZO 2023'!AI47</f>
        <v>0</v>
      </c>
      <c r="I12" s="462">
        <f>'PPTO AL 31 MARZO 2023'!AJ47</f>
        <v>0</v>
      </c>
      <c r="J12" s="462">
        <f>'PPTO AL 31 MARZO 2023'!AK47</f>
        <v>0</v>
      </c>
      <c r="K12" s="462">
        <f>'PPTO AL 31 MARZO 2023'!AL47</f>
        <v>0</v>
      </c>
      <c r="L12" s="462">
        <f>'PPTO AL 31 MARZO 2023'!AM47</f>
        <v>0</v>
      </c>
      <c r="M12" s="462">
        <f>'PPTO AL 31 MARZO 2023'!AN47</f>
        <v>0</v>
      </c>
      <c r="N12" s="462">
        <f>'PPTO AL 31 MARZO 2023'!AO47</f>
        <v>0</v>
      </c>
      <c r="O12" s="462">
        <f>'PPTO AL 31 MARZO 2023'!AP47</f>
        <v>0</v>
      </c>
      <c r="P12" s="462">
        <f>'PPTO AL 31 MARZO 2023'!AQ47</f>
        <v>0</v>
      </c>
      <c r="Q12" s="462">
        <f>'PPTO AL 31 MARZO 2023'!AR47</f>
        <v>0</v>
      </c>
      <c r="R12" s="462">
        <f>'PPTO AL 31 MARZO 2023'!AU47</f>
        <v>0</v>
      </c>
      <c r="S12" s="462">
        <f>'PPTO AL 31 MARZO 2023'!AV47</f>
        <v>0</v>
      </c>
      <c r="T12" s="462">
        <f>'PPTO AL 31 MARZO 2023'!AW47</f>
        <v>0</v>
      </c>
      <c r="U12" s="462">
        <f>'PPTO AL 31 MARZO 2023'!AX47</f>
        <v>0</v>
      </c>
      <c r="V12" s="516">
        <f>+'PPTO AL 31 MARZO 2023'!AY47</f>
        <v>76339027</v>
      </c>
      <c r="W12" s="516">
        <f>+'PPTO AL 31 MARZO 2023'!AZ47</f>
        <v>3580065.87</v>
      </c>
      <c r="X12" s="516">
        <f>+'PPTO AL 31 MARZO 2023'!BA47</f>
        <v>7520705.6200000001</v>
      </c>
      <c r="Y12" s="516">
        <f>+'PPTO AL 31 MARZO 2023'!BD47</f>
        <v>65238255.509999998</v>
      </c>
      <c r="Z12" s="589">
        <f t="shared" si="0"/>
        <v>0.14541410764902732</v>
      </c>
      <c r="AA12" s="533">
        <f>W12/V12</f>
        <v>4.6896928225192078E-2</v>
      </c>
    </row>
    <row r="13" spans="1:27" s="71" customFormat="1" ht="13.2" x14ac:dyDescent="0.25">
      <c r="A13" s="461">
        <v>2</v>
      </c>
      <c r="B13" s="79" t="s">
        <v>109</v>
      </c>
      <c r="C13" s="462">
        <f>'PPTO AL 31 MARZO 2023'!AB111</f>
        <v>1933200</v>
      </c>
      <c r="D13" s="462">
        <f>'PPTO AL 31 MARZO 2023'!AC111</f>
        <v>0</v>
      </c>
      <c r="E13" s="462">
        <f>'PPTO AL 31 MARZO 2023'!AD111</f>
        <v>0</v>
      </c>
      <c r="F13" s="462">
        <f>'PPTO AL 31 MARZO 2023'!AG111</f>
        <v>0</v>
      </c>
      <c r="G13" s="462">
        <f>'PPTO AL 31 MARZO 2023'!AH111</f>
        <v>1933200</v>
      </c>
      <c r="H13" s="462">
        <f>'PPTO AL 31 MARZO 2023'!AI111</f>
        <v>0</v>
      </c>
      <c r="I13" s="462">
        <f>'PPTO AL 31 MARZO 2023'!AJ111</f>
        <v>0</v>
      </c>
      <c r="J13" s="462">
        <f>'PPTO AL 31 MARZO 2023'!AK111</f>
        <v>0</v>
      </c>
      <c r="K13" s="462">
        <f>'PPTO AL 31 MARZO 2023'!AL111</f>
        <v>0</v>
      </c>
      <c r="L13" s="462">
        <f>'PPTO AL 31 MARZO 2023'!AM111</f>
        <v>0</v>
      </c>
      <c r="M13" s="462">
        <f>'PPTO AL 31 MARZO 2023'!AN111</f>
        <v>0</v>
      </c>
      <c r="N13" s="462">
        <f>'PPTO AL 31 MARZO 2023'!AO111</f>
        <v>0</v>
      </c>
      <c r="O13" s="462">
        <f>'PPTO AL 31 MARZO 2023'!AP111</f>
        <v>0</v>
      </c>
      <c r="P13" s="462">
        <f>'PPTO AL 31 MARZO 2023'!AQ111</f>
        <v>0</v>
      </c>
      <c r="Q13" s="462">
        <f>'PPTO AL 31 MARZO 2023'!AR111</f>
        <v>0</v>
      </c>
      <c r="R13" s="462">
        <f>'PPTO AL 31 MARZO 2023'!AU111</f>
        <v>0</v>
      </c>
      <c r="S13" s="462">
        <f>'PPTO AL 31 MARZO 2023'!AV111</f>
        <v>0</v>
      </c>
      <c r="T13" s="462">
        <f>'PPTO AL 31 MARZO 2023'!AW111</f>
        <v>0</v>
      </c>
      <c r="U13" s="462">
        <f>'PPTO AL 31 MARZO 2023'!AX111</f>
        <v>0</v>
      </c>
      <c r="V13" s="516">
        <f>+'PPTO AL 31 MARZO 2023'!AY111</f>
        <v>1933200</v>
      </c>
      <c r="W13" s="516">
        <f>+'PPTO AL 31 MARZO 2023'!AZ111</f>
        <v>80000</v>
      </c>
      <c r="X13" s="516">
        <f>+'PPTO AL 31 MARZO 2023'!BA111</f>
        <v>165800</v>
      </c>
      <c r="Y13" s="516">
        <f>+'PPTO AL 31 MARZO 2023'!BD111</f>
        <v>1687400</v>
      </c>
      <c r="Z13" s="589">
        <f t="shared" si="0"/>
        <v>0.12714669977239809</v>
      </c>
      <c r="AA13" s="533">
        <f t="shared" ref="AA13:AA17" si="1">W13/V13</f>
        <v>4.138216428719222E-2</v>
      </c>
    </row>
    <row r="14" spans="1:27" s="51" customFormat="1" ht="12" hidden="1" x14ac:dyDescent="0.25">
      <c r="A14" s="461">
        <v>3</v>
      </c>
      <c r="B14" s="79" t="s">
        <v>146</v>
      </c>
      <c r="C14" s="462">
        <f>'PPTO AL 31 MARZO 2023'!AB148</f>
        <v>0</v>
      </c>
      <c r="D14" s="462">
        <f>'PPTO AL 31 MARZO 2023'!AC148</f>
        <v>0</v>
      </c>
      <c r="E14" s="462">
        <f>'PPTO AL 31 MARZO 2023'!AD148</f>
        <v>0</v>
      </c>
      <c r="F14" s="462">
        <f>'PPTO AL 31 MARZO 2023'!AG148</f>
        <v>0</v>
      </c>
      <c r="G14" s="462">
        <f>'PPTO AL 31 MARZO 2023'!AH148</f>
        <v>0</v>
      </c>
      <c r="H14" s="462">
        <f>'PPTO AL 31 MARZO 2023'!AI148</f>
        <v>0</v>
      </c>
      <c r="I14" s="462">
        <f>'PPTO AL 31 MARZO 2023'!AJ148</f>
        <v>0</v>
      </c>
      <c r="J14" s="462">
        <f>'PPTO AL 31 MARZO 2023'!AK148</f>
        <v>0</v>
      </c>
      <c r="K14" s="462">
        <f>'PPTO AL 31 MARZO 2023'!AL148</f>
        <v>0</v>
      </c>
      <c r="L14" s="462">
        <f>'PPTO AL 31 MARZO 2023'!AM148</f>
        <v>0</v>
      </c>
      <c r="M14" s="462">
        <f>'PPTO AL 31 MARZO 2023'!AN148</f>
        <v>0</v>
      </c>
      <c r="N14" s="462">
        <f>'PPTO AL 31 MARZO 2023'!AO148</f>
        <v>0</v>
      </c>
      <c r="O14" s="462">
        <f>'PPTO AL 31 MARZO 2023'!AP148</f>
        <v>0</v>
      </c>
      <c r="P14" s="462">
        <f>'PPTO AL 31 MARZO 2023'!AQ148</f>
        <v>0</v>
      </c>
      <c r="Q14" s="462">
        <f>'PPTO AL 31 MARZO 2023'!AR148</f>
        <v>0</v>
      </c>
      <c r="R14" s="462">
        <f>'PPTO AL 31 MARZO 2023'!AU148</f>
        <v>0</v>
      </c>
      <c r="S14" s="462">
        <f>'PPTO AL 31 MARZO 2023'!AV148</f>
        <v>0</v>
      </c>
      <c r="T14" s="462">
        <f>'PPTO AL 31 MARZO 2023'!AW148</f>
        <v>0</v>
      </c>
      <c r="U14" s="462">
        <f>'PPTO AL 31 MARZO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31 MARZO 2023'!AB172</f>
        <v>0</v>
      </c>
      <c r="D15" s="462">
        <f>'PPTO AL 31 MARZO 2023'!AC172</f>
        <v>0</v>
      </c>
      <c r="E15" s="462">
        <f>'PPTO AL 31 MARZO 2023'!AD172</f>
        <v>0</v>
      </c>
      <c r="F15" s="462">
        <f>'PPTO AL 31 MARZO 2023'!AG172</f>
        <v>0</v>
      </c>
      <c r="G15" s="462">
        <f>'PPTO AL 31 MARZO 2023'!AH172</f>
        <v>0</v>
      </c>
      <c r="H15" s="462">
        <f>'PPTO AL 31 MARZO 2023'!AI172</f>
        <v>0</v>
      </c>
      <c r="I15" s="462">
        <f>'PPTO AL 31 MARZO 2023'!AJ172</f>
        <v>0</v>
      </c>
      <c r="J15" s="462">
        <f>'PPTO AL 31 MARZO 2023'!AK172</f>
        <v>0</v>
      </c>
      <c r="K15" s="462">
        <f>'PPTO AL 31 MARZO 2023'!AL172</f>
        <v>0</v>
      </c>
      <c r="L15" s="462">
        <f>'PPTO AL 31 MARZO 2023'!AM172</f>
        <v>0</v>
      </c>
      <c r="M15" s="462">
        <f>'PPTO AL 31 MARZO 2023'!AN172</f>
        <v>0</v>
      </c>
      <c r="N15" s="462">
        <f>'PPTO AL 31 MARZO 2023'!AO172</f>
        <v>0</v>
      </c>
      <c r="O15" s="462">
        <f>'PPTO AL 31 MARZO 2023'!AP172</f>
        <v>0</v>
      </c>
      <c r="P15" s="462">
        <f>'PPTO AL 31 MARZO 2023'!AQ172</f>
        <v>0</v>
      </c>
      <c r="Q15" s="462">
        <f>'PPTO AL 31 MARZO 2023'!AR172</f>
        <v>0</v>
      </c>
      <c r="R15" s="462">
        <f>'PPTO AL 31 MARZO 2023'!AU172</f>
        <v>0</v>
      </c>
      <c r="S15" s="462">
        <f>'PPTO AL 31 MARZO 2023'!AV172</f>
        <v>0</v>
      </c>
      <c r="T15" s="462">
        <f>'PPTO AL 31 MARZO 2023'!AW172</f>
        <v>0</v>
      </c>
      <c r="U15" s="462">
        <f>'PPTO AL 31 MARZO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31 MARZO 2023'!AB194</f>
        <v>0</v>
      </c>
      <c r="D16" s="462">
        <f>'PPTO AL 31 MARZO 2023'!AC194</f>
        <v>0</v>
      </c>
      <c r="E16" s="462">
        <f>'PPTO AL 31 MARZO 2023'!AD194</f>
        <v>0</v>
      </c>
      <c r="F16" s="462">
        <f>'PPTO AL 31 MARZO 2023'!AG194</f>
        <v>0</v>
      </c>
      <c r="G16" s="462">
        <f>'PPTO AL 31 MARZO 2023'!AH194</f>
        <v>0</v>
      </c>
      <c r="H16" s="462">
        <f>'PPTO AL 31 MARZO 2023'!AI194</f>
        <v>0</v>
      </c>
      <c r="I16" s="462">
        <f>'PPTO AL 31 MARZO 2023'!AJ194</f>
        <v>0</v>
      </c>
      <c r="J16" s="462">
        <f>'PPTO AL 31 MARZO 2023'!AK194</f>
        <v>0</v>
      </c>
      <c r="K16" s="462">
        <f>'PPTO AL 31 MARZO 2023'!AL194</f>
        <v>0</v>
      </c>
      <c r="L16" s="462">
        <f>'PPTO AL 31 MARZO 2023'!AM194</f>
        <v>0</v>
      </c>
      <c r="M16" s="462">
        <f>'PPTO AL 31 MARZO 2023'!AN194</f>
        <v>0</v>
      </c>
      <c r="N16" s="462">
        <f>'PPTO AL 31 MARZO 2023'!AO194</f>
        <v>0</v>
      </c>
      <c r="O16" s="462">
        <f>'PPTO AL 31 MARZO 2023'!AP194</f>
        <v>0</v>
      </c>
      <c r="P16" s="462">
        <f>'PPTO AL 31 MARZO 2023'!AQ194</f>
        <v>0</v>
      </c>
      <c r="Q16" s="462">
        <f>'PPTO AL 31 MARZO 2023'!AR194</f>
        <v>0</v>
      </c>
      <c r="R16" s="462">
        <f>'PPTO AL 31 MARZO 2023'!AU194</f>
        <v>0</v>
      </c>
      <c r="S16" s="462">
        <f>'PPTO AL 31 MARZO 2023'!AV194</f>
        <v>0</v>
      </c>
      <c r="T16" s="462">
        <f>'PPTO AL 31 MARZO 2023'!AW194</f>
        <v>0</v>
      </c>
      <c r="U16" s="462">
        <f>'PPTO AL 31 MARZO 2023'!AX194</f>
        <v>0</v>
      </c>
      <c r="V16" s="516">
        <f>+'PPTO AL 31 MARZO 2023'!AY194</f>
        <v>0</v>
      </c>
      <c r="W16" s="516">
        <f>+'PPTO AL 31 MARZO 2023'!AZ194</f>
        <v>0</v>
      </c>
      <c r="X16" s="516">
        <f>+'PPTO AL 31 MARZO 2023'!BA194</f>
        <v>0</v>
      </c>
      <c r="Y16" s="516">
        <f>+'PPTO AL 31 MARZO 2023'!BD194</f>
        <v>0</v>
      </c>
      <c r="Z16" s="589" t="e">
        <f t="shared" si="0"/>
        <v>#DIV/0!</v>
      </c>
      <c r="AA16" s="533" t="e">
        <f t="shared" si="1"/>
        <v>#DIV/0!</v>
      </c>
    </row>
    <row r="17" spans="1:34" s="51" customFormat="1" ht="12" x14ac:dyDescent="0.25">
      <c r="A17" s="461">
        <v>6</v>
      </c>
      <c r="B17" s="79" t="s">
        <v>220</v>
      </c>
      <c r="C17" s="462">
        <f>'PPTO AL 31 MARZO 2023'!AB223</f>
        <v>170101680</v>
      </c>
      <c r="D17" s="462">
        <f>'PPTO AL 31 MARZO 2023'!AC223</f>
        <v>0</v>
      </c>
      <c r="E17" s="462">
        <f>'PPTO AL 31 MARZO 2023'!AD223</f>
        <v>0</v>
      </c>
      <c r="F17" s="462">
        <f>'PPTO AL 31 MARZO 2023'!AG223</f>
        <v>0</v>
      </c>
      <c r="G17" s="462">
        <f>'PPTO AL 31 MARZO 2023'!AH223</f>
        <v>170101680</v>
      </c>
      <c r="H17" s="462">
        <f>'PPTO AL 31 MARZO 2023'!AI223</f>
        <v>0</v>
      </c>
      <c r="I17" s="462">
        <f>'PPTO AL 31 MARZO 2023'!AJ223</f>
        <v>0</v>
      </c>
      <c r="J17" s="462">
        <f>'PPTO AL 31 MARZO 2023'!AK223</f>
        <v>0</v>
      </c>
      <c r="K17" s="462">
        <f>'PPTO AL 31 MARZO 2023'!AL223</f>
        <v>0</v>
      </c>
      <c r="L17" s="462">
        <f>'PPTO AL 31 MARZO 2023'!AM223</f>
        <v>0</v>
      </c>
      <c r="M17" s="462">
        <f>'PPTO AL 31 MARZO 2023'!AN223</f>
        <v>0</v>
      </c>
      <c r="N17" s="462">
        <f>'PPTO AL 31 MARZO 2023'!AO223</f>
        <v>0</v>
      </c>
      <c r="O17" s="462">
        <f>'PPTO AL 31 MARZO 2023'!AP223</f>
        <v>0</v>
      </c>
      <c r="P17" s="462">
        <f>'PPTO AL 31 MARZO 2023'!AQ223</f>
        <v>0</v>
      </c>
      <c r="Q17" s="462">
        <f>'PPTO AL 31 MARZO 2023'!AR223</f>
        <v>0</v>
      </c>
      <c r="R17" s="462">
        <f>'PPTO AL 31 MARZO 2023'!AU223</f>
        <v>0</v>
      </c>
      <c r="S17" s="462">
        <f>'PPTO AL 31 MARZO 2023'!AV223</f>
        <v>0</v>
      </c>
      <c r="T17" s="462">
        <f>'PPTO AL 31 MARZO 2023'!AW223</f>
        <v>0</v>
      </c>
      <c r="U17" s="462">
        <f>'PPTO AL 31 MARZO 2023'!AX223</f>
        <v>0</v>
      </c>
      <c r="V17" s="516">
        <f>+'PPTO AL 31 MARZO 2023'!AY223</f>
        <v>170101680</v>
      </c>
      <c r="W17" s="516">
        <f>+'PPTO AL 31 MARZO 2023'!AZ223</f>
        <v>111480538.05</v>
      </c>
      <c r="X17" s="516">
        <f>+'PPTO AL 31 MARZO 2023'!BA223</f>
        <v>19168954</v>
      </c>
      <c r="Y17" s="516">
        <f>+'PPTO AL 31 MARZO 2023'!BD223</f>
        <v>39452187.950000003</v>
      </c>
      <c r="Z17" s="589">
        <f t="shared" si="0"/>
        <v>0.76806702937913374</v>
      </c>
      <c r="AA17" s="533">
        <f t="shared" si="1"/>
        <v>0.65537587900366412</v>
      </c>
    </row>
    <row r="18" spans="1:34" s="51" customFormat="1" ht="12" x14ac:dyDescent="0.25">
      <c r="A18" s="461">
        <v>9</v>
      </c>
      <c r="B18" s="79" t="s">
        <v>294</v>
      </c>
      <c r="C18" s="462">
        <f>'PPTO AL 31 MARZO 2023'!AB224</f>
        <v>23871751</v>
      </c>
      <c r="D18" s="462">
        <f>'PPTO AL 31 MARZO 2023'!AC224</f>
        <v>0</v>
      </c>
      <c r="E18" s="462">
        <f>'PPTO AL 31 MARZO 2023'!AD224</f>
        <v>0</v>
      </c>
      <c r="F18" s="462">
        <f>'PPTO AL 31 MARZO 2023'!AG224</f>
        <v>0</v>
      </c>
      <c r="G18" s="462">
        <f>'PPTO AL 31 MARZO 2023'!AH224</f>
        <v>23871751</v>
      </c>
      <c r="H18" s="462">
        <f>'PPTO AL 31 MARZO 2023'!AI224</f>
        <v>0</v>
      </c>
      <c r="I18" s="462">
        <f>'PPTO AL 31 MARZO 2023'!AJ224</f>
        <v>0</v>
      </c>
      <c r="J18" s="462">
        <f>'PPTO AL 31 MARZO 2023'!AK224</f>
        <v>0</v>
      </c>
      <c r="K18" s="462">
        <f>'PPTO AL 31 MARZO 2023'!AL224</f>
        <v>0</v>
      </c>
      <c r="L18" s="462">
        <f>'PPTO AL 31 MARZO 2023'!AM224</f>
        <v>0</v>
      </c>
      <c r="M18" s="462">
        <f>'PPTO AL 31 MARZO 2023'!AN224</f>
        <v>0</v>
      </c>
      <c r="N18" s="462">
        <f>'PPTO AL 31 MARZO 2023'!AO224</f>
        <v>0</v>
      </c>
      <c r="O18" s="462">
        <f>'PPTO AL 31 MARZO 2023'!AP224</f>
        <v>0</v>
      </c>
      <c r="P18" s="462">
        <f>'PPTO AL 31 MARZO 2023'!AQ224</f>
        <v>0</v>
      </c>
      <c r="Q18" s="462">
        <f>'PPTO AL 31 MARZO 2023'!AR224</f>
        <v>0</v>
      </c>
      <c r="R18" s="462">
        <f>'PPTO AL 31 MARZO 2023'!AU224</f>
        <v>0</v>
      </c>
      <c r="S18" s="462">
        <f>'PPTO AL 31 MARZO 2023'!AV224</f>
        <v>0</v>
      </c>
      <c r="T18" s="462">
        <f>'PPTO AL 31 MARZO 2023'!AW224</f>
        <v>0</v>
      </c>
      <c r="U18" s="462">
        <f>'PPTO AL 31 MARZO 2023'!AX224</f>
        <v>0</v>
      </c>
      <c r="V18" s="516">
        <f>+'PPTO AL 31 MARZO 2023'!AY297</f>
        <v>0</v>
      </c>
      <c r="W18" s="516">
        <f>+'PPTO AL 31 MARZO 2023'!AZ297</f>
        <v>0</v>
      </c>
      <c r="X18" s="516">
        <f>+'PPTO AL 31 MARZO 2023'!BA297</f>
        <v>0</v>
      </c>
      <c r="Y18" s="516">
        <f>+'PPTO AL 31 MARZO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31 MARZO 2023'!AY11</f>
        <v>1928274677</v>
      </c>
      <c r="W20" s="287">
        <f>'PPTO AL 31 MARZO 2023'!AZ11</f>
        <v>499740061.19999999</v>
      </c>
      <c r="X20" s="287">
        <f>'PPTO AL 31 MARZO 2023'!BA11</f>
        <v>197795176.62</v>
      </c>
      <c r="Y20" s="287">
        <f>'PPTO AL 31 MARZO 2023'!BD11</f>
        <v>1230739439.1800001</v>
      </c>
      <c r="Z20" s="591">
        <f>(V20-Y20)/V20</f>
        <v>0.36174059958367638</v>
      </c>
      <c r="AA20" s="534">
        <f>W20/V20</f>
        <v>0.25916435410410155</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65" type="noConversion"/>
  <conditionalFormatting sqref="C9 F6">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16" zoomScale="85" zoomScaleNormal="85" workbookViewId="0">
      <selection activeCell="D6" sqref="D6:D7"/>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5" t="str">
        <f>+'PPTO AL 31 MARZO 2023'!A1:BF1</f>
        <v>MINISTERIO DE CIENCIA, TECNOLOGÍA Y TELECOMUNICACIONES</v>
      </c>
      <c r="B1" s="836"/>
      <c r="C1" s="836"/>
      <c r="D1" s="836"/>
      <c r="E1" s="836"/>
      <c r="F1" s="836"/>
      <c r="G1" s="836"/>
      <c r="H1" s="837"/>
    </row>
    <row r="2" spans="1:11" x14ac:dyDescent="0.3">
      <c r="A2" s="838" t="str">
        <f>+'PPTO AL 31 MARZO 2023'!A5:BF5</f>
        <v>PROGRAMA 899 RECTORÍA DEL SECTOR TELECOMUNICACIONES</v>
      </c>
      <c r="B2" s="839"/>
      <c r="C2" s="839"/>
      <c r="D2" s="839"/>
      <c r="E2" s="839"/>
      <c r="F2" s="839"/>
      <c r="G2" s="839"/>
      <c r="H2" s="840"/>
    </row>
    <row r="3" spans="1:11" x14ac:dyDescent="0.3">
      <c r="A3" s="841" t="str">
        <f>+'PPTO AL 31 MARZO 2023'!A3:BF3</f>
        <v>-En colones-</v>
      </c>
      <c r="B3" s="842"/>
      <c r="C3" s="842"/>
      <c r="D3" s="842"/>
      <c r="E3" s="842"/>
      <c r="F3" s="842"/>
      <c r="G3" s="842"/>
      <c r="H3" s="843"/>
    </row>
    <row r="4" spans="1:11" ht="15" thickBot="1" x14ac:dyDescent="0.35">
      <c r="A4" s="844" t="str">
        <f>RESUMENxPartida!A5</f>
        <v>AL 31 DE MARZO 2023</v>
      </c>
      <c r="B4" s="845"/>
      <c r="C4" s="845"/>
      <c r="D4" s="845"/>
      <c r="E4" s="845"/>
      <c r="F4" s="845"/>
      <c r="G4" s="845"/>
      <c r="H4" s="846"/>
    </row>
    <row r="5" spans="1:11" ht="15" thickBot="1" x14ac:dyDescent="0.35">
      <c r="A5" s="14"/>
      <c r="B5" s="14"/>
      <c r="C5" s="14"/>
      <c r="D5" s="14"/>
      <c r="E5" s="14"/>
      <c r="F5" s="14"/>
      <c r="G5" s="14"/>
    </row>
    <row r="6" spans="1:11" ht="36" customHeight="1" x14ac:dyDescent="0.3">
      <c r="A6" s="816" t="s">
        <v>4</v>
      </c>
      <c r="B6" s="817"/>
      <c r="C6" s="780" t="s">
        <v>311</v>
      </c>
      <c r="D6" s="780" t="s">
        <v>316</v>
      </c>
      <c r="E6" s="780" t="s">
        <v>312</v>
      </c>
      <c r="F6" s="780" t="s">
        <v>313</v>
      </c>
      <c r="G6" s="780" t="s">
        <v>430</v>
      </c>
      <c r="H6" s="780" t="s">
        <v>450</v>
      </c>
    </row>
    <row r="7" spans="1:11" ht="15" thickBot="1" x14ac:dyDescent="0.35">
      <c r="A7" s="454" t="s">
        <v>6</v>
      </c>
      <c r="B7" s="455" t="s">
        <v>7</v>
      </c>
      <c r="C7" s="782"/>
      <c r="D7" s="782"/>
      <c r="E7" s="782"/>
      <c r="F7" s="782"/>
      <c r="G7" s="782"/>
      <c r="H7" s="782"/>
    </row>
    <row r="8" spans="1:11" x14ac:dyDescent="0.3">
      <c r="A8" s="77"/>
      <c r="B8" s="77"/>
      <c r="C8" s="67"/>
      <c r="D8" s="14"/>
      <c r="E8" s="14"/>
      <c r="F8" s="14"/>
      <c r="G8" s="14"/>
      <c r="H8" s="458"/>
    </row>
    <row r="9" spans="1:11" x14ac:dyDescent="0.3">
      <c r="A9" s="457">
        <v>0</v>
      </c>
      <c r="B9" s="456" t="s">
        <v>12</v>
      </c>
      <c r="C9" s="459">
        <f>'PPTO AL 31 MARZO 2023'!AY13</f>
        <v>1679900770</v>
      </c>
      <c r="D9" s="459">
        <f>'PPTO AL 31 MARZO 2023'!AZ13</f>
        <v>384599457.27999997</v>
      </c>
      <c r="E9" s="459">
        <f>'PPTO AL 31 MARZO 2023'!BA13</f>
        <v>170939717</v>
      </c>
      <c r="F9" s="459">
        <f>'PPTO AL 31 MARZO 2023'!BD13</f>
        <v>1124361595.72</v>
      </c>
      <c r="G9" s="519">
        <f>(C9-F9)/C9</f>
        <v>0.33069761274054299</v>
      </c>
      <c r="H9" s="519">
        <f>D9/C9</f>
        <v>0.22894177093567258</v>
      </c>
    </row>
    <row r="10" spans="1:11" x14ac:dyDescent="0.3">
      <c r="A10" s="518">
        <f>'PPTO AL 31 MARZO 2023'!A14</f>
        <v>1</v>
      </c>
      <c r="B10" s="460" t="str">
        <f>'PPTO AL 31 MARZO 2023'!AA14</f>
        <v>REMUNERACIONES BÁSICAS</v>
      </c>
      <c r="C10" s="333">
        <f>'PPTO AL 31 MARZO 2023'!AY14</f>
        <v>1193151526</v>
      </c>
      <c r="D10" s="333">
        <f>'PPTO AL 31 MARZO 2023'!AZ14</f>
        <v>232858721.13</v>
      </c>
      <c r="E10" s="333">
        <f>'PPTO AL 31 MARZO 2023'!BA14</f>
        <v>0</v>
      </c>
      <c r="F10" s="333">
        <f>'PPTO AL 31 MARZO 2023'!BD14</f>
        <v>960292804.87</v>
      </c>
      <c r="G10" s="520">
        <f>'PPTO AL 31 MARZO 2023'!BE14</f>
        <v>0.19516274006760143</v>
      </c>
      <c r="H10" s="520">
        <f>'PPTO AL 31 MARZO 2023'!BG14</f>
        <v>0.19516274006760143</v>
      </c>
    </row>
    <row r="11" spans="1:11" hidden="1" x14ac:dyDescent="0.3">
      <c r="A11" s="518">
        <f>'PPTO AL 31 MARZO 2023'!A20</f>
        <v>2</v>
      </c>
      <c r="B11" s="460" t="str">
        <f>'PPTO AL 31 MARZO 2023'!AA20</f>
        <v>REMUNERACIONES EVENTUALES</v>
      </c>
      <c r="C11" s="333">
        <f>'PPTO AL 31 MARZO 2023'!AY20</f>
        <v>0</v>
      </c>
      <c r="D11" s="333">
        <f>'PPTO AL 31 MARZO 2023'!AZ20</f>
        <v>0</v>
      </c>
      <c r="E11" s="333">
        <f>'PPTO AL 31 MARZO 2023'!BA20</f>
        <v>0</v>
      </c>
      <c r="F11" s="333">
        <f>'PPTO AL 31 MARZO 2023'!BD20</f>
        <v>0</v>
      </c>
      <c r="G11" s="520" t="e">
        <f>'PPTO AL 31 MARZO 2023'!BE20</f>
        <v>#DIV/0!</v>
      </c>
      <c r="H11" s="520" t="e">
        <f>'PPTO AL 31 MARZO 2023'!BG20</f>
        <v>#DIV/0!</v>
      </c>
    </row>
    <row r="12" spans="1:11" x14ac:dyDescent="0.3">
      <c r="A12" s="518">
        <f>'PPTO AL 31 MARZO 2023'!A26</f>
        <v>3</v>
      </c>
      <c r="B12" s="460" t="str">
        <f>'PPTO AL 31 MARZO 2023'!AA26</f>
        <v>INCENTIVOS SALARIALES</v>
      </c>
      <c r="C12" s="333">
        <f>'PPTO AL 31 MARZO 2023'!AY26</f>
        <v>228752244</v>
      </c>
      <c r="D12" s="333">
        <f>'PPTO AL 31 MARZO 2023'!AZ26</f>
        <v>88680453.150000006</v>
      </c>
      <c r="E12" s="333">
        <f>'PPTO AL 31 MARZO 2023'!BA26</f>
        <v>0</v>
      </c>
      <c r="F12" s="333">
        <f>'PPTO AL 31 MARZO 2023'!BD26</f>
        <v>140071790.84999999</v>
      </c>
      <c r="G12" s="520">
        <f>'PPTO AL 31 MARZO 2023'!BE26</f>
        <v>0.38767030914896733</v>
      </c>
      <c r="H12" s="520">
        <f>'PPTO AL 31 MARZO 2023'!BG26</f>
        <v>0.38767030914896733</v>
      </c>
    </row>
    <row r="13" spans="1:11" x14ac:dyDescent="0.3">
      <c r="A13" s="518">
        <f>'PPTO AL 31 MARZO 2023'!A32</f>
        <v>4</v>
      </c>
      <c r="B13" s="460" t="str">
        <f>'PPTO AL 31 MARZO 2023'!AA32</f>
        <v>CONTRIB. PATR. AL DESARROLLO Y LA SEG. SOCIAL</v>
      </c>
      <c r="C13" s="333">
        <f>'PPTO AL 31 MARZO 2023'!AY32</f>
        <v>127884000</v>
      </c>
      <c r="D13" s="333">
        <f>'PPTO AL 31 MARZO 2023'!AZ32</f>
        <v>31396187</v>
      </c>
      <c r="E13" s="333">
        <f>'PPTO AL 31 MARZO 2023'!BA32</f>
        <v>84603813</v>
      </c>
      <c r="F13" s="333">
        <f>'PPTO AL 31 MARZO 2023'!BD32</f>
        <v>11884000</v>
      </c>
      <c r="G13" s="520">
        <f>'PPTO AL 31 MARZO 2023'!BE32</f>
        <v>0.90707203403084047</v>
      </c>
      <c r="H13" s="520">
        <f>'PPTO AL 31 MARZO 2023'!BG32</f>
        <v>0.24550520002502269</v>
      </c>
    </row>
    <row r="14" spans="1:11" x14ac:dyDescent="0.3">
      <c r="A14" s="518">
        <f>'PPTO AL 31 MARZO 2023'!A38</f>
        <v>5</v>
      </c>
      <c r="B14" s="460" t="str">
        <f>'PPTO AL 31 MARZO 2023'!AA38</f>
        <v xml:space="preserve">CONTRIB. PATR. FDOS  PENS. Y OTROS FDOS DE CAPITALIZ. </v>
      </c>
      <c r="C14" s="333">
        <f>'PPTO AL 31 MARZO 2023'!AY38</f>
        <v>130113000</v>
      </c>
      <c r="D14" s="333">
        <f>'PPTO AL 31 MARZO 2023'!AZ38</f>
        <v>31664096</v>
      </c>
      <c r="E14" s="333">
        <f>'PPTO AL 31 MARZO 2023'!BA38</f>
        <v>86335904</v>
      </c>
      <c r="F14" s="333">
        <f>'PPTO AL 31 MARZO 2023'!BD38</f>
        <v>12113000</v>
      </c>
      <c r="G14" s="520">
        <f>'PPTO AL 31 MARZO 2023'!BE38</f>
        <v>0.90690399883178463</v>
      </c>
      <c r="H14" s="520">
        <f>'PPTO AL 31 MARZO 2023'!BG38</f>
        <v>0.2433584345914705</v>
      </c>
      <c r="K14" t="s">
        <v>0</v>
      </c>
    </row>
    <row r="15" spans="1:11" hidden="1" x14ac:dyDescent="0.3">
      <c r="A15" s="518">
        <f>'PPTO AL 31 MARZO 2023'!A44</f>
        <v>99</v>
      </c>
      <c r="B15" s="460" t="str">
        <f>'PPTO AL 31 MARZO 2023'!AA44</f>
        <v>REMUNERACIONES DIVERSAS</v>
      </c>
      <c r="C15" s="333">
        <f>'PPTO AL 31 MARZO 2023'!AY44</f>
        <v>0</v>
      </c>
      <c r="D15" s="333">
        <f>'PPTO AL 31 MARZO 2023'!AZ44</f>
        <v>0</v>
      </c>
      <c r="E15" s="333">
        <f>'PPTO AL 31 MARZO 2023'!BA44</f>
        <v>0</v>
      </c>
      <c r="F15" s="333">
        <f>'PPTO AL 31 MARZO 2023'!BD44</f>
        <v>0</v>
      </c>
      <c r="G15" s="520"/>
      <c r="H15" s="520"/>
    </row>
    <row r="16" spans="1:11" x14ac:dyDescent="0.3">
      <c r="A16" s="457">
        <v>1</v>
      </c>
      <c r="B16" s="456" t="s">
        <v>46</v>
      </c>
      <c r="C16" s="459">
        <f>'PPTO AL 31 MARZO 2023'!AY47</f>
        <v>76339027</v>
      </c>
      <c r="D16" s="459">
        <f>'PPTO AL 31 MARZO 2023'!AZ47</f>
        <v>3580065.87</v>
      </c>
      <c r="E16" s="459">
        <f>'PPTO AL 31 MARZO 2023'!BA47</f>
        <v>7520705.6200000001</v>
      </c>
      <c r="F16" s="459">
        <f>'PPTO AL 31 MARZO 2023'!BD47</f>
        <v>65238255.509999998</v>
      </c>
      <c r="G16" s="519">
        <f>(C16-F16)/C16</f>
        <v>0.14541410764902732</v>
      </c>
      <c r="H16" s="519">
        <f>D16/C16</f>
        <v>4.6896928225192078E-2</v>
      </c>
    </row>
    <row r="17" spans="1:9" hidden="1" x14ac:dyDescent="0.3">
      <c r="A17" s="518">
        <f>'PPTO AL 31 MARZO 2023'!A48</f>
        <v>101</v>
      </c>
      <c r="B17" s="460" t="str">
        <f>'PPTO AL 31 MARZO 2023'!AA48</f>
        <v xml:space="preserve">ALQUILERES </v>
      </c>
      <c r="C17" s="333">
        <f>'PPTO AL 31 MARZO 2023'!AY48</f>
        <v>0</v>
      </c>
      <c r="D17" s="333">
        <f>'PPTO AL 31 MARZO 2023'!AZ48</f>
        <v>0</v>
      </c>
      <c r="E17" s="333">
        <f>'PPTO AL 31 MARZO 2023'!BA48</f>
        <v>0</v>
      </c>
      <c r="F17" s="333">
        <f>'PPTO AL 31 MARZO 2023'!BD48</f>
        <v>0</v>
      </c>
      <c r="G17" s="520">
        <f>'PPTO AL 31 MARZO 2023'!BE48</f>
        <v>0</v>
      </c>
      <c r="H17" s="520" t="str">
        <f>'PPTO AL 31 MARZO 2023'!BG48</f>
        <v>-</v>
      </c>
    </row>
    <row r="18" spans="1:9" x14ac:dyDescent="0.3">
      <c r="A18" s="518">
        <f>'PPTO AL 31 MARZO 2023'!A54</f>
        <v>102</v>
      </c>
      <c r="B18" s="460" t="str">
        <f>'PPTO AL 31 MARZO 2023'!AA54</f>
        <v>SERVICIOS BÁSICOS</v>
      </c>
      <c r="C18" s="333">
        <f>'PPTO AL 31 MARZO 2023'!AY54</f>
        <v>0</v>
      </c>
      <c r="D18" s="333">
        <f>'PPTO AL 31 MARZO 2023'!AZ54</f>
        <v>0</v>
      </c>
      <c r="E18" s="333">
        <f>'PPTO AL 31 MARZO 2023'!BA54</f>
        <v>0</v>
      </c>
      <c r="F18" s="333">
        <f>'PPTO AL 31 MARZO 2023'!BD54</f>
        <v>0</v>
      </c>
      <c r="G18" s="520" t="e">
        <f>'PPTO AL 31 MARZO 2023'!BE54</f>
        <v>#DIV/0!</v>
      </c>
      <c r="H18" s="520" t="e">
        <f>'PPTO AL 31 MARZO 2023'!BG54</f>
        <v>#DIV/0!</v>
      </c>
    </row>
    <row r="19" spans="1:9" x14ac:dyDescent="0.3">
      <c r="A19" s="518">
        <f>'PPTO AL 31 MARZO 2023'!A60</f>
        <v>103</v>
      </c>
      <c r="B19" s="460" t="str">
        <f>'PPTO AL 31 MARZO 2023'!AA60</f>
        <v>SERVICIOS COMERCIALES Y FINANCIEROS</v>
      </c>
      <c r="C19" s="333">
        <f>'PPTO AL 31 MARZO 2023'!AY60</f>
        <v>8863548</v>
      </c>
      <c r="D19" s="333">
        <f>'PPTO AL 31 MARZO 2023'!AZ60</f>
        <v>91522.09</v>
      </c>
      <c r="E19" s="333">
        <f>'PPTO AL 31 MARZO 2023'!BA60</f>
        <v>1002405.86</v>
      </c>
      <c r="F19" s="333">
        <f>'PPTO AL 31 MARZO 2023'!BD60</f>
        <v>7769620.0499999989</v>
      </c>
      <c r="G19" s="520">
        <f>'PPTO AL 31 MARZO 2023'!BE60</f>
        <v>0.12341874269761964</v>
      </c>
      <c r="H19" s="520">
        <f>'PPTO AL 31 MARZO 2023'!BG60</f>
        <v>1.0325672067212813E-2</v>
      </c>
    </row>
    <row r="20" spans="1:9" x14ac:dyDescent="0.3">
      <c r="A20" s="518">
        <f>'PPTO AL 31 MARZO 2023'!A68</f>
        <v>104</v>
      </c>
      <c r="B20" s="460" t="str">
        <f>'PPTO AL 31 MARZO 2023'!AA68</f>
        <v>SERVICIOS DE GESTIÓN Y APOYO</v>
      </c>
      <c r="C20" s="333">
        <f>'PPTO AL 31 MARZO 2023'!AY68</f>
        <v>47638800</v>
      </c>
      <c r="D20" s="333">
        <f>'PPTO AL 31 MARZO 2023'!AZ68</f>
        <v>1957250.4</v>
      </c>
      <c r="E20" s="333">
        <f>'PPTO AL 31 MARZO 2023'!BA68</f>
        <v>978628.39</v>
      </c>
      <c r="F20" s="333">
        <f>'PPTO AL 31 MARZO 2023'!BD68</f>
        <v>44702921.210000001</v>
      </c>
      <c r="G20" s="520">
        <f>'PPTO AL 31 MARZO 2023'!BE68</f>
        <v>6.162789134067187E-2</v>
      </c>
      <c r="H20" s="520">
        <f>'PPTO AL 31 MARZO 2023'!BG68</f>
        <v>4.1085216252298544E-2</v>
      </c>
    </row>
    <row r="21" spans="1:9" x14ac:dyDescent="0.3">
      <c r="A21" s="518">
        <f>'PPTO AL 31 MARZO 2023'!A76</f>
        <v>105</v>
      </c>
      <c r="B21" s="460" t="str">
        <f>'PPTO AL 31 MARZO 2023'!AA76</f>
        <v>GASTOS DE VIAJE Y TRANSPORTE</v>
      </c>
      <c r="C21" s="333">
        <f>'PPTO AL 31 MARZO 2023'!AY76</f>
        <v>8586679</v>
      </c>
      <c r="D21" s="333">
        <f>'PPTO AL 31 MARZO 2023'!AZ76</f>
        <v>400106.38</v>
      </c>
      <c r="E21" s="333">
        <f>'PPTO AL 31 MARZO 2023'!BA76</f>
        <v>974063.37</v>
      </c>
      <c r="F21" s="333">
        <f>'PPTO AL 31 MARZO 2023'!BD76</f>
        <v>7212509.25</v>
      </c>
      <c r="G21" s="520">
        <f>'PPTO AL 31 MARZO 2023'!BE76</f>
        <v>0.16003506710801696</v>
      </c>
      <c r="H21" s="520">
        <f>'PPTO AL 31 MARZO 2023'!BG76</f>
        <v>4.6596172979099369E-2</v>
      </c>
    </row>
    <row r="22" spans="1:9" x14ac:dyDescent="0.3">
      <c r="A22" s="518">
        <f>'PPTO AL 31 MARZO 2023'!A81</f>
        <v>106</v>
      </c>
      <c r="B22" s="460" t="str">
        <f>'PPTO AL 31 MARZO 2023'!AA81</f>
        <v>SEGUROS, REASEGUROS Y OTRAS OBLIGACIONES</v>
      </c>
      <c r="C22" s="333">
        <f>'PPTO AL 31 MARZO 2023'!AY81</f>
        <v>9000000</v>
      </c>
      <c r="D22" s="333">
        <f>'PPTO AL 31 MARZO 2023'!AZ81</f>
        <v>1131187</v>
      </c>
      <c r="E22" s="333">
        <f>'PPTO AL 31 MARZO 2023'!BA81</f>
        <v>4565608</v>
      </c>
      <c r="F22" s="333">
        <f>'PPTO AL 31 MARZO 2023'!BD81</f>
        <v>3303205</v>
      </c>
      <c r="G22" s="520">
        <f>'PPTO AL 31 MARZO 2023'!BE81</f>
        <v>0.63297722222222219</v>
      </c>
      <c r="H22" s="520">
        <f>'PPTO AL 31 MARZO 2023'!BG81</f>
        <v>0.12568744444444443</v>
      </c>
    </row>
    <row r="23" spans="1:9" x14ac:dyDescent="0.3">
      <c r="A23" s="518">
        <f>'PPTO AL 31 MARZO 2023'!A85</f>
        <v>107</v>
      </c>
      <c r="B23" s="460" t="str">
        <f>'PPTO AL 31 MARZO 2023'!AA85</f>
        <v>CAPACITACIÓN Y PROTOCOLO</v>
      </c>
      <c r="C23" s="333">
        <f>'PPTO AL 31 MARZO 2023'!AY85</f>
        <v>0</v>
      </c>
      <c r="D23" s="333">
        <f>'PPTO AL 31 MARZO 2023'!AZ85</f>
        <v>0</v>
      </c>
      <c r="E23" s="333">
        <f>'PPTO AL 31 MARZO 2023'!BA85</f>
        <v>0</v>
      </c>
      <c r="F23" s="333">
        <f>'PPTO AL 31 MARZO 2023'!BD85</f>
        <v>0</v>
      </c>
      <c r="G23" s="520" t="e">
        <f>'PPTO AL 31 MARZO 2023'!BE85</f>
        <v>#DIV/0!</v>
      </c>
      <c r="H23" s="520" t="e">
        <f>'PPTO AL 31 MARZO 2023'!BG85</f>
        <v>#DIV/0!</v>
      </c>
    </row>
    <row r="24" spans="1:9" x14ac:dyDescent="0.3">
      <c r="A24" s="518">
        <f>'PPTO AL 31 MARZO 2023'!A89</f>
        <v>108</v>
      </c>
      <c r="B24" s="460" t="str">
        <f>'PPTO AL 31 MARZO 2023'!AA89</f>
        <v>MANT. Y REP.</v>
      </c>
      <c r="C24" s="333">
        <f>'PPTO AL 31 MARZO 2023'!AY89</f>
        <v>1900000</v>
      </c>
      <c r="D24" s="333">
        <f>'PPTO AL 31 MARZO 2023'!AZ89</f>
        <v>0</v>
      </c>
      <c r="E24" s="333">
        <f>'PPTO AL 31 MARZO 2023'!BA89</f>
        <v>0</v>
      </c>
      <c r="F24" s="333">
        <f>'PPTO AL 31 MARZO 2023'!BD89</f>
        <v>1900000</v>
      </c>
      <c r="G24" s="520">
        <f>'PPTO AL 31 MARZO 2023'!BE89</f>
        <v>0</v>
      </c>
      <c r="H24" s="520">
        <f>'PPTO AL 31 MARZO 2023'!BG89</f>
        <v>0</v>
      </c>
    </row>
    <row r="25" spans="1:9" hidden="1" x14ac:dyDescent="0.3">
      <c r="A25" s="518">
        <f>'PPTO AL 31 MARZO 2023'!A99</f>
        <v>109</v>
      </c>
      <c r="B25" s="460" t="str">
        <f>'PPTO AL 31 MARZO 2023'!AA99</f>
        <v>IMPUESTOS</v>
      </c>
      <c r="C25" s="333">
        <f>'PPTO AL 31 MARZO 2023'!AY99</f>
        <v>0</v>
      </c>
      <c r="D25" s="333">
        <f>'PPTO AL 31 MARZO 2023'!AZ99</f>
        <v>0</v>
      </c>
      <c r="E25" s="333">
        <f>'PPTO AL 31 MARZO 2023'!BA99</f>
        <v>0</v>
      </c>
      <c r="F25" s="333">
        <f>'PPTO AL 31 MARZO 2023'!BD99</f>
        <v>0</v>
      </c>
      <c r="G25" s="520">
        <f>'PPTO AL 31 MARZO 2023'!BE99</f>
        <v>0</v>
      </c>
      <c r="H25" s="520">
        <f>'PPTO AL 31 MARZO 2023'!BG99</f>
        <v>0</v>
      </c>
    </row>
    <row r="26" spans="1:9" x14ac:dyDescent="0.3">
      <c r="A26" s="518">
        <f>'PPTO AL 31 MARZO 2023'!A104</f>
        <v>199</v>
      </c>
      <c r="B26" s="460" t="str">
        <f>'PPTO AL 31 MARZO 2023'!AA104</f>
        <v>SERVICIOS DIVERSOS</v>
      </c>
      <c r="C26" s="333">
        <f>'PPTO AL 31 MARZO 2023'!AY104</f>
        <v>350000</v>
      </c>
      <c r="D26" s="333">
        <f>'PPTO AL 31 MARZO 2023'!AZ104</f>
        <v>0</v>
      </c>
      <c r="E26" s="333">
        <f>'PPTO AL 31 MARZO 2023'!BA104</f>
        <v>0</v>
      </c>
      <c r="F26" s="333">
        <f>'PPTO AL 31 MARZO 2023'!BD104</f>
        <v>350000</v>
      </c>
      <c r="G26" s="520">
        <f>'PPTO AL 31 MARZO 2023'!BE104</f>
        <v>0</v>
      </c>
      <c r="H26" s="520">
        <f>'PPTO AL 31 MARZO 2023'!BG104</f>
        <v>0</v>
      </c>
    </row>
    <row r="27" spans="1:9" x14ac:dyDescent="0.3">
      <c r="A27" s="457">
        <v>2</v>
      </c>
      <c r="B27" s="456" t="s">
        <v>109</v>
      </c>
      <c r="C27" s="459">
        <f>'PPTO AL 31 MARZO 2023'!AY111</f>
        <v>1933200</v>
      </c>
      <c r="D27" s="459">
        <f>'PPTO AL 31 MARZO 2023'!AZ111</f>
        <v>80000</v>
      </c>
      <c r="E27" s="459">
        <f>'PPTO AL 31 MARZO 2023'!BA111</f>
        <v>165800</v>
      </c>
      <c r="F27" s="459">
        <f>'PPTO AL 31 MARZO 2023'!BD111</f>
        <v>1687400</v>
      </c>
      <c r="G27" s="519">
        <f>(C27-F27)/C27</f>
        <v>0.12714669977239809</v>
      </c>
      <c r="H27" s="521">
        <f>D27/C27</f>
        <v>4.138216428719222E-2</v>
      </c>
    </row>
    <row r="28" spans="1:9" x14ac:dyDescent="0.3">
      <c r="A28" s="518">
        <f>'PPTO AL 31 MARZO 2023'!A112</f>
        <v>201</v>
      </c>
      <c r="B28" s="460" t="str">
        <f>'PPTO AL 31 MARZO 2023'!AA112</f>
        <v>PRODUCTOS QUÍMICOS Y CONEXOS</v>
      </c>
      <c r="C28" s="333">
        <f>'PPTO AL 31 MARZO 2023'!AY112</f>
        <v>983200</v>
      </c>
      <c r="D28" s="333">
        <f>'PPTO AL 31 MARZO 2023'!AZ112</f>
        <v>80000</v>
      </c>
      <c r="E28" s="333">
        <f>'PPTO AL 31 MARZO 2023'!BA112</f>
        <v>165800</v>
      </c>
      <c r="F28" s="333">
        <f>'PPTO AL 31 MARZO 2023'!BD112</f>
        <v>737400</v>
      </c>
      <c r="G28" s="520">
        <f>'PPTO AL 31 MARZO 2023'!BE112</f>
        <v>0.25</v>
      </c>
      <c r="H28" s="520">
        <f>'PPTO AL 31 MARZO 2023'!BG112</f>
        <v>8.1366965012205042E-2</v>
      </c>
      <c r="I28" t="s">
        <v>0</v>
      </c>
    </row>
    <row r="29" spans="1:9" x14ac:dyDescent="0.3">
      <c r="A29" s="518">
        <f>'PPTO AL 31 MARZO 2023'!A118</f>
        <v>202</v>
      </c>
      <c r="B29" s="460" t="str">
        <f>'PPTO AL 31 MARZO 2023'!AA118</f>
        <v xml:space="preserve">ALIMENTOS Y PRODUCTOS AGROPECUARIOS </v>
      </c>
      <c r="C29" s="333">
        <f>'PPTO AL 31 MARZO 2023'!AY118</f>
        <v>0</v>
      </c>
      <c r="D29" s="333">
        <f>'PPTO AL 31 MARZO 2023'!AZ118</f>
        <v>0</v>
      </c>
      <c r="E29" s="333">
        <f>'PPTO AL 31 MARZO 2023'!BA118</f>
        <v>0</v>
      </c>
      <c r="F29" s="333">
        <f>'PPTO AL 31 MARZO 2023'!BD118</f>
        <v>0</v>
      </c>
      <c r="G29" s="520" t="e">
        <f>'PPTO AL 31 MARZO 2023'!BE118</f>
        <v>#DIV/0!</v>
      </c>
      <c r="H29" s="520" t="e">
        <f>'PPTO AL 31 MARZO 2023'!BG118</f>
        <v>#DIV/0!</v>
      </c>
      <c r="I29" t="s">
        <v>0</v>
      </c>
    </row>
    <row r="30" spans="1:9" hidden="1" x14ac:dyDescent="0.3">
      <c r="A30" s="518">
        <f>'PPTO AL 31 MARZO 2023'!A123</f>
        <v>203</v>
      </c>
      <c r="B30" s="460" t="str">
        <f>'PPTO AL 31 MARZO 2023'!AA123</f>
        <v>MATERIALES Y PROD. DE USO EN LA CONSTR. Y MANT.</v>
      </c>
      <c r="C30" s="333">
        <f>'PPTO AL 31 MARZO 2023'!AY123</f>
        <v>950000</v>
      </c>
      <c r="D30" s="333">
        <f>'PPTO AL 31 MARZO 2023'!AZ123</f>
        <v>0</v>
      </c>
      <c r="E30" s="333">
        <f>'PPTO AL 31 MARZO 2023'!BA123</f>
        <v>0</v>
      </c>
      <c r="F30" s="333">
        <f>'PPTO AL 31 MARZO 2023'!BD123</f>
        <v>950000</v>
      </c>
      <c r="G30" s="520">
        <f>'PPTO AL 31 MARZO 2023'!BE123</f>
        <v>0</v>
      </c>
      <c r="H30" s="520">
        <f>'PPTO AL 31 MARZO 2023'!BG123</f>
        <v>0</v>
      </c>
    </row>
    <row r="31" spans="1:9" x14ac:dyDescent="0.3">
      <c r="A31" s="518">
        <f>'PPTO AL 31 MARZO 2023'!A131</f>
        <v>204</v>
      </c>
      <c r="B31" s="460" t="str">
        <f>'PPTO AL 31 MARZO 2023'!AA131</f>
        <v>HERRAMIENTAS, REPUESTOS Y ACCESORIOS</v>
      </c>
      <c r="C31" s="333">
        <f>'PPTO AL 31 MARZO 2023'!AY131</f>
        <v>0</v>
      </c>
      <c r="D31" s="333">
        <f>'PPTO AL 31 MARZO 2023'!AZ131</f>
        <v>0</v>
      </c>
      <c r="E31" s="333">
        <f>'PPTO AL 31 MARZO 2023'!BA131</f>
        <v>0</v>
      </c>
      <c r="F31" s="333">
        <f>'PPTO AL 31 MARZO 2023'!BD131</f>
        <v>0</v>
      </c>
      <c r="G31" s="520" t="e">
        <f>'PPTO AL 31 MARZO 2023'!BE131</f>
        <v>#DIV/0!</v>
      </c>
      <c r="H31" s="520" t="e">
        <f>'PPTO AL 31 MARZO 2023'!BG131</f>
        <v>#DIV/0!</v>
      </c>
    </row>
    <row r="32" spans="1:9" hidden="1" x14ac:dyDescent="0.3">
      <c r="A32" s="518">
        <f>'PPTO AL 31 MARZO 2023'!A134</f>
        <v>205</v>
      </c>
      <c r="B32" s="460" t="str">
        <f>'PPTO AL 31 MARZO 2023'!AA134</f>
        <v>BIENES PARA LA PRODUCCIÓN Y COMERCIALIZACIÓN</v>
      </c>
      <c r="C32" s="333">
        <f>'PPTO AL 31 MARZO 2023'!AY134</f>
        <v>0</v>
      </c>
      <c r="D32" s="333">
        <f>'PPTO AL 31 MARZO 2023'!AZ134</f>
        <v>0</v>
      </c>
      <c r="E32" s="333">
        <f>'PPTO AL 31 MARZO 2023'!BA134</f>
        <v>0</v>
      </c>
      <c r="F32" s="333">
        <f>'PPTO AL 31 MARZO 2023'!BD134</f>
        <v>0</v>
      </c>
      <c r="G32" s="520">
        <f>'PPTO AL 31 MARZO 2023'!BE134</f>
        <v>0</v>
      </c>
      <c r="H32" s="520">
        <f>'PPTO AL 31 MARZO 2023'!BF134</f>
        <v>0</v>
      </c>
    </row>
    <row r="33" spans="1:8" x14ac:dyDescent="0.3">
      <c r="A33" s="518">
        <f>'PPTO AL 31 MARZO 2023'!A139</f>
        <v>299</v>
      </c>
      <c r="B33" s="460" t="str">
        <f>'PPTO AL 31 MARZO 2023'!AA139</f>
        <v>ÚTILES, MATERIALES Y SUMINISTROS DIVERSOS</v>
      </c>
      <c r="C33" s="333">
        <f>'PPTO AL 31 MARZO 2023'!AY139</f>
        <v>0</v>
      </c>
      <c r="D33" s="333">
        <f>'PPTO AL 31 MARZO 2023'!AZ139</f>
        <v>0</v>
      </c>
      <c r="E33" s="333">
        <f>'PPTO AL 31 MARZO 2023'!BA139</f>
        <v>0</v>
      </c>
      <c r="F33" s="333">
        <f>'PPTO AL 31 MARZO 2023'!BD139</f>
        <v>0</v>
      </c>
      <c r="G33" s="520" t="e">
        <f>'PPTO AL 31 MARZO 2023'!BE139</f>
        <v>#DIV/0!</v>
      </c>
      <c r="H33" s="520" t="e">
        <f>'PPTO AL 31 MARZO 2023'!BG139</f>
        <v>#DIV/0!</v>
      </c>
    </row>
    <row r="34" spans="1:8" hidden="1" x14ac:dyDescent="0.3">
      <c r="A34" s="461">
        <v>3</v>
      </c>
      <c r="B34" s="79" t="s">
        <v>146</v>
      </c>
      <c r="C34" s="462">
        <f>'PPTO AL 31 MARZO 2023'!AY148</f>
        <v>0</v>
      </c>
      <c r="D34" s="462">
        <f>'PPTO AL 31 MARZO 2023'!AZ148</f>
        <v>0</v>
      </c>
      <c r="E34" s="462">
        <f>'PPTO AL 31 MARZO 2023'!BA148</f>
        <v>0</v>
      </c>
      <c r="F34" s="462">
        <f>'PPTO AL 31 MARZO 2023'!BD148</f>
        <v>0</v>
      </c>
      <c r="G34" s="522" t="e">
        <f>(C34-F34)/C34</f>
        <v>#DIV/0!</v>
      </c>
      <c r="H34" s="522" t="e">
        <f>(D34-G34)/D34</f>
        <v>#DIV/0!</v>
      </c>
    </row>
    <row r="35" spans="1:8" hidden="1" x14ac:dyDescent="0.3">
      <c r="A35" s="461">
        <v>4</v>
      </c>
      <c r="B35" s="79" t="s">
        <v>170</v>
      </c>
      <c r="C35" s="462">
        <f>'PPTO AL 31 MARZO 2023'!AY172</f>
        <v>0</v>
      </c>
      <c r="D35" s="462">
        <f>'PPTO AL 31 MARZO 2023'!AZ172</f>
        <v>0</v>
      </c>
      <c r="E35" s="462">
        <f>'PPTO AL 31 MARZO 2023'!BA172</f>
        <v>0</v>
      </c>
      <c r="F35" s="462">
        <f>'PPTO AL 31 MARZO 2023'!BD172</f>
        <v>0</v>
      </c>
      <c r="G35" s="522" t="e">
        <f>(C35-F35)/C35</f>
        <v>#DIV/0!</v>
      </c>
      <c r="H35" s="522" t="e">
        <f>(D35-G35)/D35</f>
        <v>#DIV/0!</v>
      </c>
    </row>
    <row r="36" spans="1:8" x14ac:dyDescent="0.3">
      <c r="A36" s="457">
        <v>5</v>
      </c>
      <c r="B36" s="457" t="s">
        <v>192</v>
      </c>
      <c r="C36" s="463">
        <f>'PPTO AL 31 MARZO 2023'!AY194</f>
        <v>0</v>
      </c>
      <c r="D36" s="463">
        <f>'PPTO AL 31 MARZO 2023'!AZ194</f>
        <v>0</v>
      </c>
      <c r="E36" s="463">
        <f>'PPTO AL 31 MARZO 2023'!BA194</f>
        <v>0</v>
      </c>
      <c r="F36" s="463">
        <f>'PPTO AL 31 MARZO 2023'!BD194</f>
        <v>0</v>
      </c>
      <c r="G36" s="521" t="e">
        <f>(C36-F36)/C36</f>
        <v>#DIV/0!</v>
      </c>
      <c r="H36" s="521" t="e">
        <f>D36/C36</f>
        <v>#DIV/0!</v>
      </c>
    </row>
    <row r="37" spans="1:8" hidden="1" x14ac:dyDescent="0.3">
      <c r="A37" s="464">
        <f>'PPTO AL 31 MARZO 2023'!A196</f>
        <v>50101</v>
      </c>
      <c r="B37" s="460" t="str">
        <f>'PPTO AL 31 MARZO 2023'!AA196</f>
        <v>Maquinaria y equipo para la producción</v>
      </c>
      <c r="C37" s="333">
        <f>'PPTO AL 31 MARZO 2023'!AY196</f>
        <v>0</v>
      </c>
      <c r="D37" s="333">
        <f>'PPTO AL 31 MARZO 2023'!AZ196</f>
        <v>0</v>
      </c>
      <c r="E37" s="333">
        <f>'PPTO AL 31 MARZO 2023'!BA196</f>
        <v>0</v>
      </c>
      <c r="F37" s="333">
        <f>'PPTO AL 31 MARZO 2023'!BD196</f>
        <v>0</v>
      </c>
      <c r="G37" s="520">
        <f>'PPTO AL 31 MARZO 2023'!BE196</f>
        <v>0</v>
      </c>
      <c r="H37" s="520">
        <f>'PPTO AL 31 MARZO 2023'!BG196</f>
        <v>0</v>
      </c>
    </row>
    <row r="38" spans="1:8" hidden="1" x14ac:dyDescent="0.3">
      <c r="A38" s="464">
        <f>'PPTO AL 31 MARZO 2023'!A197</f>
        <v>50102</v>
      </c>
      <c r="B38" s="460" t="str">
        <f>'PPTO AL 31 MARZO 2023'!AA197</f>
        <v>Equipo de transporte</v>
      </c>
      <c r="C38" s="333">
        <f>'PPTO AL 31 MARZO 2023'!AY197</f>
        <v>0</v>
      </c>
      <c r="D38" s="333">
        <f>'PPTO AL 31 MARZO 2023'!AZ197</f>
        <v>0</v>
      </c>
      <c r="E38" s="333">
        <f>'PPTO AL 31 MARZO 2023'!BA197</f>
        <v>0</v>
      </c>
      <c r="F38" s="333">
        <f>'PPTO AL 31 MARZO 2023'!BD197</f>
        <v>0</v>
      </c>
      <c r="G38" s="520">
        <f>'PPTO AL 31 MARZO 2023'!BE197</f>
        <v>0</v>
      </c>
      <c r="H38" s="520">
        <f>'PPTO AL 31 MARZO 2023'!BG197</f>
        <v>0</v>
      </c>
    </row>
    <row r="39" spans="1:8" hidden="1" x14ac:dyDescent="0.3">
      <c r="A39" s="464" t="str">
        <f>'PPTO AL 31 MARZO 2023'!A198</f>
        <v>E-50103</v>
      </c>
      <c r="B39" s="460" t="s">
        <v>633</v>
      </c>
      <c r="C39" s="333">
        <f>'PPTO AL 31 MARZO 2023'!AY198</f>
        <v>0</v>
      </c>
      <c r="D39" s="333">
        <f>'PPTO AL 31 MARZO 2023'!AZ198</f>
        <v>0</v>
      </c>
      <c r="E39" s="333">
        <f>'PPTO AL 31 MARZO 2023'!BA198</f>
        <v>0</v>
      </c>
      <c r="F39" s="333">
        <f>'PPTO AL 31 MARZO 2023'!BD198</f>
        <v>0</v>
      </c>
      <c r="G39" s="520">
        <f>'PPTO AL 31 MARZO 2023'!BE198</f>
        <v>0</v>
      </c>
      <c r="H39" s="520">
        <f>'PPTO AL 31 MARZO 2023'!BG198</f>
        <v>0</v>
      </c>
    </row>
    <row r="40" spans="1:8" hidden="1" x14ac:dyDescent="0.3">
      <c r="A40" s="464" t="str">
        <f>'PPTO AL 31 MARZO 2023'!A199</f>
        <v>E-50104</v>
      </c>
      <c r="B40" s="460" t="s">
        <v>634</v>
      </c>
      <c r="C40" s="333">
        <f>'PPTO AL 31 MARZO 2023'!AY199</f>
        <v>0</v>
      </c>
      <c r="D40" s="333">
        <f>'PPTO AL 31 MARZO 2023'!AZ199</f>
        <v>0</v>
      </c>
      <c r="E40" s="333">
        <f>'PPTO AL 31 MARZO 2023'!BA199</f>
        <v>0</v>
      </c>
      <c r="F40" s="333">
        <f>'PPTO AL 31 MARZO 2023'!BD199</f>
        <v>0</v>
      </c>
      <c r="G40" s="520">
        <v>0</v>
      </c>
      <c r="H40" s="520">
        <v>0</v>
      </c>
    </row>
    <row r="41" spans="1:8" x14ac:dyDescent="0.3">
      <c r="A41" s="464" t="str">
        <f>'PPTO AL 31 MARZO 2023'!A200</f>
        <v>E-50105</v>
      </c>
      <c r="B41" s="460" t="s">
        <v>635</v>
      </c>
      <c r="C41" s="333">
        <f>'PPTO AL 31 MARZO 2023'!AY200</f>
        <v>0</v>
      </c>
      <c r="D41" s="333">
        <f>'PPTO AL 31 MARZO 2023'!AZ200</f>
        <v>0</v>
      </c>
      <c r="E41" s="333">
        <f>'PPTO AL 31 MARZO 2023'!BA200</f>
        <v>0</v>
      </c>
      <c r="F41" s="333">
        <f>'PPTO AL 31 MARZO 2023'!BD200</f>
        <v>0</v>
      </c>
      <c r="G41" s="520">
        <f>'PPTO AL 31 MARZO 2023'!BE200</f>
        <v>0</v>
      </c>
      <c r="H41" s="520">
        <f>'PPTO AL 31 MARZO 2023'!BG200</f>
        <v>0</v>
      </c>
    </row>
    <row r="42" spans="1:8" hidden="1" x14ac:dyDescent="0.3">
      <c r="A42" s="464">
        <f>'PPTO AL 31 MARZO 2023'!A201</f>
        <v>50106</v>
      </c>
      <c r="B42" s="460" t="str">
        <f>'PPTO AL 31 MARZO 2023'!AA201</f>
        <v>Equipo sanitario, de laboratorio e investigación</v>
      </c>
      <c r="C42" s="333">
        <f>'PPTO AL 31 MARZO 2023'!AY201</f>
        <v>0</v>
      </c>
      <c r="D42" s="333">
        <f>'PPTO AL 31 MARZO 2023'!AZ201</f>
        <v>0</v>
      </c>
      <c r="E42" s="333">
        <f>'PPTO AL 31 MARZO 2023'!BA201</f>
        <v>0</v>
      </c>
      <c r="F42" s="333">
        <f>'PPTO AL 31 MARZO 2023'!BD201</f>
        <v>0</v>
      </c>
      <c r="G42" s="523" t="s">
        <v>0</v>
      </c>
      <c r="H42" s="523" t="s">
        <v>0</v>
      </c>
    </row>
    <row r="43" spans="1:8" hidden="1" x14ac:dyDescent="0.3">
      <c r="A43" s="464">
        <f>'PPTO AL 31 MARZO 2023'!A202</f>
        <v>50107</v>
      </c>
      <c r="B43" s="460" t="str">
        <f>'PPTO AL 31 MARZO 2023'!AA202</f>
        <v>Equipo y mobiliario educacional, deportivo y recreativo</v>
      </c>
      <c r="C43" s="333">
        <f>'PPTO AL 31 MARZO 2023'!AY202</f>
        <v>0</v>
      </c>
      <c r="D43" s="333">
        <f>'PPTO AL 31 MARZO 2023'!AZ202</f>
        <v>0</v>
      </c>
      <c r="E43" s="333">
        <f>'PPTO AL 31 MARZO 2023'!BA202</f>
        <v>0</v>
      </c>
      <c r="F43" s="333">
        <f>'PPTO AL 31 MARZO 2023'!BD202</f>
        <v>0</v>
      </c>
      <c r="G43" s="520" t="s">
        <v>0</v>
      </c>
      <c r="H43" s="520" t="s">
        <v>0</v>
      </c>
    </row>
    <row r="44" spans="1:8" hidden="1" x14ac:dyDescent="0.3">
      <c r="A44" s="464">
        <f>'PPTO AL 31 MARZO 2023'!A203</f>
        <v>50199</v>
      </c>
      <c r="B44" s="460" t="str">
        <f>'PPTO AL 31 MARZO 2023'!AA203</f>
        <v>Maquinaria, equipo y mobiliario diverso</v>
      </c>
      <c r="C44" s="333">
        <f>'PPTO AL 31 MARZO 2023'!AY203</f>
        <v>0</v>
      </c>
      <c r="D44" s="333">
        <f>'PPTO AL 31 MARZO 2023'!AZ203</f>
        <v>0</v>
      </c>
      <c r="E44" s="333">
        <f>'PPTO AL 31 MARZO 2023'!BA203</f>
        <v>0</v>
      </c>
      <c r="F44" s="333">
        <f>'PPTO AL 31 MARZO 2023'!BD203</f>
        <v>0</v>
      </c>
      <c r="G44" s="520">
        <f>'PPTO AL 31 MARZO 2023'!BE203</f>
        <v>0</v>
      </c>
      <c r="H44" s="520">
        <f>'PPTO AL 31 MARZO 2023'!BG203</f>
        <v>0</v>
      </c>
    </row>
    <row r="45" spans="1:8" x14ac:dyDescent="0.3">
      <c r="A45" s="464" t="str">
        <f>'PPTO AL 31 MARZO 2023'!A221</f>
        <v>E-59903</v>
      </c>
      <c r="B45" s="460" t="s">
        <v>636</v>
      </c>
      <c r="C45" s="333">
        <f>'PPTO AL 31 MARZO 2023'!AY204</f>
        <v>0</v>
      </c>
      <c r="D45" s="333">
        <f>'PPTO AL 31 MARZO 2023'!AZ204</f>
        <v>0</v>
      </c>
      <c r="E45" s="333">
        <f>'PPTO AL 31 MARZO 2023'!BA204</f>
        <v>0</v>
      </c>
      <c r="F45" s="333">
        <f>'PPTO AL 31 MARZO 2023'!BB204</f>
        <v>0</v>
      </c>
      <c r="G45" s="520">
        <f>'PPTO AL 31 MARZO 2023'!BE221</f>
        <v>0</v>
      </c>
      <c r="H45" s="520">
        <f>'PPTO AL 31 MARZO 2023'!BG221</f>
        <v>0</v>
      </c>
    </row>
    <row r="46" spans="1:8" x14ac:dyDescent="0.3">
      <c r="A46" s="457">
        <v>6</v>
      </c>
      <c r="B46" s="456" t="s">
        <v>220</v>
      </c>
      <c r="C46" s="459">
        <f>'PPTO AL 31 MARZO 2023'!AY223</f>
        <v>170101680</v>
      </c>
      <c r="D46" s="459">
        <f>'PPTO AL 31 MARZO 2023'!AZ223</f>
        <v>111480538.05</v>
      </c>
      <c r="E46" s="459">
        <f>'PPTO AL 31 MARZO 2023'!BA223</f>
        <v>19168954</v>
      </c>
      <c r="F46" s="459">
        <f>'PPTO AL 31 MARZO 2023'!BD223</f>
        <v>39452187.950000003</v>
      </c>
      <c r="G46" s="519">
        <f>(C46-F46)/C46</f>
        <v>0.76806702937913374</v>
      </c>
      <c r="H46" s="521">
        <f>D46/C46</f>
        <v>0.65537587900366412</v>
      </c>
    </row>
    <row r="47" spans="1:8" ht="18.600000000000001" customHeight="1" x14ac:dyDescent="0.3">
      <c r="A47" s="518">
        <f>'PPTO AL 31 MARZO 2023'!A224</f>
        <v>601</v>
      </c>
      <c r="B47" s="465" t="str">
        <f>'PPTO AL 31 MARZO 2023'!AA224</f>
        <v>TRANSF. CORRIENTES AL SECTOR PÚBLICO</v>
      </c>
      <c r="C47" s="333">
        <f>'PPTO AL 31 MARZO 2023'!AY224</f>
        <v>23871751</v>
      </c>
      <c r="D47" s="333">
        <f>'PPTO AL 31 MARZO 2023'!AZ224</f>
        <v>5597545.0499999998</v>
      </c>
      <c r="E47" s="333">
        <f>'PPTO AL 31 MARZO 2023'!BA224</f>
        <v>15502454.949999999</v>
      </c>
      <c r="F47" s="333">
        <f>'PPTO AL 31 MARZO 2023'!BD224</f>
        <v>2771751.0000000005</v>
      </c>
      <c r="G47" s="520">
        <f>'PPTO AL 31 MARZO 2023'!BE224</f>
        <v>0.88388991657964255</v>
      </c>
      <c r="H47" s="520">
        <f>'PPTO AL 31 MARZO 2023'!BG224</f>
        <v>0.23448405816565362</v>
      </c>
    </row>
    <row r="48" spans="1:8" ht="18.600000000000001" hidden="1" customHeight="1" x14ac:dyDescent="0.3">
      <c r="A48" s="518">
        <f>'PPTO AL 31 MARZO 2023'!A236</f>
        <v>602</v>
      </c>
      <c r="B48" s="465" t="str">
        <f>'PPTO AL 31 MARZO 2023'!AA236</f>
        <v>TRANSF. CORRIENTES A PERSONAS</v>
      </c>
      <c r="C48" s="333">
        <f>'PPTO AL 31 MARZO 2023'!AY236</f>
        <v>0</v>
      </c>
      <c r="D48" s="333">
        <f>'PPTO AL 31 MARZO 2023'!AZ236</f>
        <v>0</v>
      </c>
      <c r="E48" s="333">
        <f>'PPTO AL 31 MARZO 2023'!BA236</f>
        <v>0</v>
      </c>
      <c r="F48" s="333">
        <f>'PPTO AL 31 MARZO 2023'!BD236</f>
        <v>0</v>
      </c>
      <c r="G48" s="520">
        <f>'PPTO AL 31 MARZO 2023'!BE236</f>
        <v>0</v>
      </c>
      <c r="H48" s="520">
        <f>'PPTO AL 31 MARZO 2023'!BG236</f>
        <v>0</v>
      </c>
    </row>
    <row r="49" spans="1:8" ht="18.600000000000001" customHeight="1" x14ac:dyDescent="0.3">
      <c r="A49" s="518">
        <f>'PPTO AL 31 MARZO 2023'!A241</f>
        <v>603</v>
      </c>
      <c r="B49" s="465" t="str">
        <f>'PPTO AL 31 MARZO 2023'!AA241</f>
        <v xml:space="preserve">PRESTACIONES </v>
      </c>
      <c r="C49" s="333">
        <f>'PPTO AL 31 MARZO 2023'!AY241</f>
        <v>41874064</v>
      </c>
      <c r="D49" s="333">
        <f>'PPTO AL 31 MARZO 2023'!AZ241</f>
        <v>1527128</v>
      </c>
      <c r="E49" s="333">
        <f>'PPTO AL 31 MARZO 2023'!BA241</f>
        <v>3666499.05</v>
      </c>
      <c r="F49" s="333">
        <f>'PPTO AL 31 MARZO 2023'!BD241</f>
        <v>36680436.950000003</v>
      </c>
      <c r="G49" s="520">
        <f>'PPTO AL 31 MARZO 2023'!BE241</f>
        <v>0.12402968696804774</v>
      </c>
      <c r="H49" s="520">
        <f>'PPTO AL 31 MARZO 2023'!BG241</f>
        <v>3.6469543534155179E-2</v>
      </c>
    </row>
    <row r="50" spans="1:8" ht="28.2" hidden="1" customHeight="1" x14ac:dyDescent="0.3">
      <c r="A50" s="518">
        <f>'PPTO AL 31 MARZO 2023'!A248</f>
        <v>604</v>
      </c>
      <c r="B50" s="465" t="str">
        <f>'PPTO AL 31 MARZO 2023'!AA248</f>
        <v>TRANSFERENCIAS CORRIENTES A ENTIDADES PRIVADAS SIN FINES DE LUCRO</v>
      </c>
      <c r="C50" s="333">
        <f>'PPTO AL 31 MARZO 2023'!AB248</f>
        <v>0</v>
      </c>
      <c r="D50" s="333">
        <f>'PPTO AL 31 MARZO 2023'!AC248</f>
        <v>0</v>
      </c>
      <c r="E50" s="333">
        <f>'PPTO AL 31 MARZO 2023'!AD248</f>
        <v>0</v>
      </c>
      <c r="F50" s="333">
        <f>'PPTO AL 31 MARZO 2023'!AE248</f>
        <v>0</v>
      </c>
      <c r="G50" s="520">
        <f>'PPTO AL 31 MARZO 2023'!AF248</f>
        <v>0</v>
      </c>
      <c r="H50" s="520">
        <f>'PPTO AL 31 MARZO 2023'!BG248</f>
        <v>0</v>
      </c>
    </row>
    <row r="51" spans="1:8" ht="18" hidden="1" customHeight="1" x14ac:dyDescent="0.3">
      <c r="A51" s="518">
        <f>'PPTO AL 31 MARZO 2023'!A253</f>
        <v>605</v>
      </c>
      <c r="B51" s="465" t="str">
        <f>'PPTO AL 31 MARZO 2023'!AA253</f>
        <v>TRANSFERENCIAS CORRIENTES A EMPRESAS PRIVADAS</v>
      </c>
      <c r="C51" s="333">
        <f>'PPTO AL 31 MARZO 2023'!AY253</f>
        <v>0</v>
      </c>
      <c r="D51" s="333">
        <f>'PPTO AL 31 MARZO 2023'!AZ253</f>
        <v>0</v>
      </c>
      <c r="E51" s="333">
        <f>'PPTO AL 31 MARZO 2023'!BA253</f>
        <v>0</v>
      </c>
      <c r="F51" s="333">
        <f>'PPTO AL 31 MARZO 2023'!BD253</f>
        <v>0</v>
      </c>
      <c r="G51" s="520">
        <f>'PPTO AL 31 MARZO 2023'!BE253</f>
        <v>0</v>
      </c>
      <c r="H51" s="520" t="str">
        <f>'PPTO AL 31 MARZO 2023'!BG253</f>
        <v xml:space="preserve"> </v>
      </c>
    </row>
    <row r="52" spans="1:8" ht="18" hidden="1" customHeight="1" x14ac:dyDescent="0.3">
      <c r="A52" s="518">
        <f>'PPTO AL 31 MARZO 2023'!A255</f>
        <v>606</v>
      </c>
      <c r="B52" s="465" t="str">
        <f>'PPTO AL 31 MARZO 2023'!AA255</f>
        <v>OTRAS TRANSF. CORRIENTES AL SECTOR PRIVADO</v>
      </c>
      <c r="C52" s="333">
        <f>'PPTO AL 31 MARZO 2023'!AY255</f>
        <v>0</v>
      </c>
      <c r="D52" s="333">
        <f>'PPTO AL 31 MARZO 2023'!AZ255</f>
        <v>0</v>
      </c>
      <c r="E52" s="333">
        <f>'PPTO AL 31 MARZO 2023'!BA255</f>
        <v>0</v>
      </c>
      <c r="F52" s="333">
        <f>'PPTO AL 31 MARZO 2023'!BD255</f>
        <v>0</v>
      </c>
      <c r="G52" s="520">
        <f>'PPTO AL 31 MARZO 2023'!BE255</f>
        <v>0</v>
      </c>
      <c r="H52" s="520">
        <f>'PPTO AL 31 MARZO 2023'!BG255</f>
        <v>0</v>
      </c>
    </row>
    <row r="53" spans="1:8" ht="18" customHeight="1" x14ac:dyDescent="0.3">
      <c r="A53" s="518">
        <f>'PPTO AL 31 MARZO 2023'!A258</f>
        <v>607</v>
      </c>
      <c r="B53" s="465" t="str">
        <f>'PPTO AL 31 MARZO 2023'!AA258</f>
        <v>TRANSFERENCIAS CORRIENTES AL SECTOR EXTERNO</v>
      </c>
      <c r="C53" s="333">
        <f>'PPTO AL 31 MARZO 2023'!AY258</f>
        <v>104355865</v>
      </c>
      <c r="D53" s="333">
        <f>'PPTO AL 31 MARZO 2023'!AZ258</f>
        <v>104355865</v>
      </c>
      <c r="E53" s="333">
        <f>'PPTO AL 31 MARZO 2023'!BA258</f>
        <v>0</v>
      </c>
      <c r="F53" s="333">
        <f>'PPTO AL 31 MARZO 2023'!BD258</f>
        <v>0</v>
      </c>
      <c r="G53" s="520">
        <f>'PPTO AL 31 MARZO 2023'!BE258</f>
        <v>1</v>
      </c>
      <c r="H53" s="520">
        <f>'PPTO AL 31 MARZO 2023'!BG258</f>
        <v>1</v>
      </c>
    </row>
    <row r="54" spans="1:8" ht="18" customHeight="1" x14ac:dyDescent="0.3">
      <c r="A54" s="457">
        <v>9</v>
      </c>
      <c r="B54" s="456" t="s">
        <v>294</v>
      </c>
      <c r="C54" s="459">
        <f>+'PPTO AL 31 MARZO 2023'!AY297</f>
        <v>0</v>
      </c>
      <c r="D54" s="459">
        <f>+'PPTO AL 31 MARZO 2023'!AZ297</f>
        <v>0</v>
      </c>
      <c r="E54" s="459">
        <f>+'PPTO AL 31 MARZO 2023'!BA297</f>
        <v>0</v>
      </c>
      <c r="F54" s="459">
        <f>+'PPTO AL 31 MARZO 2023'!BD297</f>
        <v>0</v>
      </c>
      <c r="G54" s="519">
        <f>IFERROR(((C54-F54)/C54),0)</f>
        <v>0</v>
      </c>
      <c r="H54" s="521">
        <f>IFERROR((D54/C54),0)</f>
        <v>0</v>
      </c>
    </row>
    <row r="55" spans="1:8" ht="18" customHeight="1" x14ac:dyDescent="0.3">
      <c r="A55" s="518" t="s">
        <v>630</v>
      </c>
      <c r="B55" s="465" t="s">
        <v>637</v>
      </c>
      <c r="C55" s="333">
        <f>+'PPTO AL 31 MARZO 2023'!AY301</f>
        <v>0</v>
      </c>
      <c r="D55" s="333">
        <f>+'PPTO AL 31 MARZO 2023'!AZ301</f>
        <v>0</v>
      </c>
      <c r="E55" s="333">
        <f>+'PPTO AL 31 MARZO 2023'!BA301</f>
        <v>0</v>
      </c>
      <c r="F55" s="333">
        <f>+'PPTO AL 31 MARZO 2023'!BD301</f>
        <v>0</v>
      </c>
      <c r="G55" s="520">
        <f>+'PPTO AL 31 MARZO 2023'!BE301</f>
        <v>0</v>
      </c>
      <c r="H55" s="520">
        <f>+'PPTO AL 31 MARZO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31 MARZO 2023'!AY11</f>
        <v>1928274677</v>
      </c>
      <c r="D57" s="291">
        <f>'PPTO AL 31 MARZO 2023'!AZ11</f>
        <v>499740061.19999999</v>
      </c>
      <c r="E57" s="291">
        <f>'PPTO AL 31 MARZO 2023'!BA11</f>
        <v>197795176.62</v>
      </c>
      <c r="F57" s="291">
        <f>'PPTO AL 31 MARZO 2023'!BD11</f>
        <v>1230739439.1800001</v>
      </c>
      <c r="G57" s="525">
        <f>(C57-F57)/C57</f>
        <v>0.36174059958367638</v>
      </c>
      <c r="H57" s="525">
        <f>D57/C57</f>
        <v>0.25916435410410155</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49" t="s">
        <v>1</v>
      </c>
      <c r="B3" s="849"/>
      <c r="C3" s="849"/>
      <c r="D3" s="849"/>
    </row>
    <row r="4" spans="1:4" x14ac:dyDescent="0.3">
      <c r="A4" t="s">
        <v>376</v>
      </c>
    </row>
    <row r="5" spans="1:4" x14ac:dyDescent="0.3">
      <c r="A5" s="849" t="s">
        <v>424</v>
      </c>
      <c r="B5" s="849"/>
      <c r="C5" s="849"/>
      <c r="D5" s="849"/>
    </row>
    <row r="8" spans="1:4" ht="18.600000000000001" thickBot="1" x14ac:dyDescent="0.4">
      <c r="A8" s="101"/>
      <c r="B8" s="847">
        <v>2012</v>
      </c>
      <c r="C8" s="847"/>
      <c r="D8" s="847"/>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1679900770</v>
      </c>
      <c r="C11" s="102">
        <f>RESUMENxPartida!W11</f>
        <v>384599457.27999997</v>
      </c>
      <c r="D11" s="104">
        <f>C11/B11</f>
        <v>0.22894177093567258</v>
      </c>
    </row>
    <row r="12" spans="1:4" x14ac:dyDescent="0.3">
      <c r="A12" t="s">
        <v>318</v>
      </c>
      <c r="B12" s="102">
        <f>RESUMENxPartida!V12</f>
        <v>76339027</v>
      </c>
      <c r="C12" s="102">
        <f>RESUMENxPartida!W12</f>
        <v>3580065.87</v>
      </c>
      <c r="D12" s="104">
        <f>C12/B12</f>
        <v>4.6896928225192078E-2</v>
      </c>
    </row>
    <row r="13" spans="1:4" x14ac:dyDescent="0.3">
      <c r="A13" t="s">
        <v>320</v>
      </c>
      <c r="B13" s="102">
        <f>RESUMENxPartida!V13</f>
        <v>1933200</v>
      </c>
      <c r="C13" s="102">
        <f>RESUMENxPartida!W13</f>
        <v>80000</v>
      </c>
      <c r="D13" s="104">
        <f>C13/B13</f>
        <v>4.138216428719222E-2</v>
      </c>
    </row>
    <row r="14" spans="1:4" x14ac:dyDescent="0.3">
      <c r="A14" t="s">
        <v>321</v>
      </c>
      <c r="B14" s="102">
        <f>RESUMENxPartida!V16</f>
        <v>0</v>
      </c>
      <c r="C14" s="102">
        <f>RESUMENxPartida!W16</f>
        <v>0</v>
      </c>
      <c r="D14" s="104" t="e">
        <f>C14/B14</f>
        <v>#DIV/0!</v>
      </c>
    </row>
    <row r="15" spans="1:4" x14ac:dyDescent="0.3">
      <c r="A15" t="s">
        <v>322</v>
      </c>
      <c r="B15" s="102">
        <f>RESUMENxPartida!V17-'PPTO AL 31 MARZO 2023'!AY227</f>
        <v>170101680</v>
      </c>
      <c r="C15" s="102">
        <f>RESUMENxPartida!W17-'PPTO AL 31 MARZO 2023'!AZ227</f>
        <v>111480538.05</v>
      </c>
      <c r="D15" s="104">
        <f>C15/B15</f>
        <v>0.65537587900366412</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31 MARZO 2023'!AY227</f>
        <v>0</v>
      </c>
      <c r="C19" s="102">
        <f>'PPTO AL 31 MARZO 2023'!AZ227</f>
        <v>0</v>
      </c>
      <c r="D19" s="104" t="e">
        <f>C19/B19</f>
        <v>#DIV/0!</v>
      </c>
    </row>
    <row r="20" spans="1:4" x14ac:dyDescent="0.3">
      <c r="B20" s="102"/>
      <c r="C20" s="102"/>
      <c r="D20" s="104"/>
    </row>
    <row r="21" spans="1:4" ht="15" thickBot="1" x14ac:dyDescent="0.35">
      <c r="A21" s="121" t="s">
        <v>417</v>
      </c>
      <c r="B21" s="122">
        <f>SUM(B11:B20)</f>
        <v>1928274677</v>
      </c>
      <c r="C21" s="122">
        <f>SUM(C11:C20)</f>
        <v>499740061.19999999</v>
      </c>
      <c r="D21" s="123">
        <f>C21/B21</f>
        <v>0.25916435410410155</v>
      </c>
    </row>
    <row r="23" spans="1:4" x14ac:dyDescent="0.3">
      <c r="A23" t="s">
        <v>328</v>
      </c>
    </row>
    <row r="25" spans="1:4" ht="28.5" customHeight="1" x14ac:dyDescent="0.3">
      <c r="A25" s="848" t="s">
        <v>425</v>
      </c>
      <c r="B25" s="848"/>
      <c r="C25" s="848"/>
      <c r="D25" s="848"/>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3" t="s">
        <v>407</v>
      </c>
      <c r="B2" s="853"/>
      <c r="C2" s="853"/>
      <c r="D2" s="853"/>
      <c r="E2" s="853"/>
      <c r="F2" s="853"/>
      <c r="G2" s="853"/>
      <c r="H2" s="124"/>
    </row>
    <row r="3" spans="1:13" x14ac:dyDescent="0.3">
      <c r="A3" s="853" t="s">
        <v>378</v>
      </c>
      <c r="B3" s="853"/>
      <c r="C3" s="853"/>
      <c r="D3" s="853"/>
      <c r="E3" s="853"/>
      <c r="F3" s="853"/>
      <c r="G3" s="853"/>
      <c r="H3" s="124"/>
    </row>
    <row r="4" spans="1:13" x14ac:dyDescent="0.3">
      <c r="A4" s="853" t="s">
        <v>379</v>
      </c>
      <c r="B4" s="853"/>
      <c r="C4" s="853"/>
      <c r="D4" s="853"/>
      <c r="E4" s="853"/>
      <c r="F4" s="853"/>
      <c r="G4" s="853"/>
      <c r="H4" s="124"/>
    </row>
    <row r="5" spans="1:13" x14ac:dyDescent="0.3">
      <c r="A5" s="853" t="s">
        <v>416</v>
      </c>
      <c r="B5" s="853"/>
      <c r="C5" s="853"/>
      <c r="D5" s="853"/>
      <c r="E5" s="853"/>
      <c r="F5" s="853"/>
      <c r="G5" s="853"/>
      <c r="H5" s="124"/>
    </row>
    <row r="6" spans="1:13" x14ac:dyDescent="0.3">
      <c r="A6" s="854" t="s">
        <v>381</v>
      </c>
      <c r="B6" s="854"/>
      <c r="C6" s="854"/>
      <c r="D6" s="854"/>
      <c r="E6" s="125"/>
      <c r="F6" s="125"/>
      <c r="G6" s="125"/>
      <c r="H6" s="125"/>
    </row>
    <row r="7" spans="1:13" ht="15" thickBot="1" x14ac:dyDescent="0.35">
      <c r="A7" s="126"/>
      <c r="B7" s="855">
        <v>2007</v>
      </c>
      <c r="C7" s="855"/>
      <c r="D7" s="855"/>
      <c r="E7" s="856">
        <v>2008</v>
      </c>
      <c r="F7" s="856"/>
      <c r="G7" s="856"/>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0" t="s">
        <v>411</v>
      </c>
      <c r="B30" s="850"/>
      <c r="C30" s="850"/>
      <c r="D30" s="850"/>
      <c r="E30" s="850"/>
      <c r="F30" s="850"/>
      <c r="G30" s="850"/>
      <c r="H30" s="850"/>
    </row>
    <row r="31" spans="1:13" x14ac:dyDescent="0.3">
      <c r="A31" s="851"/>
      <c r="B31" s="851"/>
      <c r="C31" s="851"/>
      <c r="D31" s="851"/>
      <c r="E31" s="851"/>
      <c r="F31" s="851"/>
      <c r="G31" s="851"/>
      <c r="H31" s="851"/>
    </row>
    <row r="32" spans="1:13" x14ac:dyDescent="0.3">
      <c r="A32" s="852" t="s">
        <v>412</v>
      </c>
      <c r="B32" s="852"/>
      <c r="C32" s="852"/>
      <c r="D32" s="852"/>
      <c r="E32" s="852"/>
      <c r="F32" s="852"/>
      <c r="G32" s="852"/>
      <c r="H32" s="852"/>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3" t="s">
        <v>407</v>
      </c>
      <c r="B6" s="853"/>
      <c r="C6" s="853"/>
      <c r="D6" s="853"/>
      <c r="E6" s="853"/>
      <c r="F6" s="853"/>
      <c r="G6" s="853"/>
      <c r="H6" s="124"/>
    </row>
    <row r="7" spans="1:13" x14ac:dyDescent="0.3">
      <c r="A7" s="853" t="s">
        <v>378</v>
      </c>
      <c r="B7" s="853"/>
      <c r="C7" s="853"/>
      <c r="D7" s="853"/>
      <c r="E7" s="853"/>
      <c r="F7" s="853"/>
      <c r="G7" s="853"/>
      <c r="H7" s="124"/>
    </row>
    <row r="8" spans="1:13" x14ac:dyDescent="0.3">
      <c r="A8" s="853" t="s">
        <v>379</v>
      </c>
      <c r="B8" s="853"/>
      <c r="C8" s="853"/>
      <c r="D8" s="853"/>
      <c r="E8" s="853"/>
      <c r="F8" s="853"/>
      <c r="G8" s="853"/>
      <c r="H8" s="124"/>
    </row>
    <row r="9" spans="1:13" x14ac:dyDescent="0.3">
      <c r="A9" s="853" t="s">
        <v>408</v>
      </c>
      <c r="B9" s="853"/>
      <c r="C9" s="853"/>
      <c r="D9" s="853"/>
      <c r="E9" s="853"/>
      <c r="F9" s="853"/>
      <c r="G9" s="853"/>
      <c r="H9" s="124"/>
    </row>
    <row r="10" spans="1:13" x14ac:dyDescent="0.3">
      <c r="A10" s="854" t="s">
        <v>381</v>
      </c>
      <c r="B10" s="854"/>
      <c r="C10" s="854"/>
      <c r="D10" s="854"/>
      <c r="E10" s="125"/>
      <c r="F10" s="125"/>
      <c r="G10" s="125"/>
      <c r="H10" s="125"/>
    </row>
    <row r="11" spans="1:13" ht="15" thickBot="1" x14ac:dyDescent="0.35">
      <c r="A11" s="126"/>
      <c r="B11" s="855">
        <v>2008</v>
      </c>
      <c r="C11" s="855"/>
      <c r="D11" s="855"/>
      <c r="E11" s="856">
        <v>2009</v>
      </c>
      <c r="F11" s="856"/>
      <c r="G11" s="856"/>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0" t="s">
        <v>411</v>
      </c>
      <c r="B34" s="850"/>
      <c r="C34" s="850"/>
      <c r="D34" s="850"/>
      <c r="E34" s="850"/>
      <c r="F34" s="850"/>
      <c r="G34" s="850"/>
      <c r="H34" s="850"/>
    </row>
    <row r="35" spans="1:8" x14ac:dyDescent="0.3">
      <c r="A35" s="851"/>
      <c r="B35" s="851"/>
      <c r="C35" s="851"/>
      <c r="D35" s="851"/>
      <c r="E35" s="851"/>
      <c r="F35" s="851"/>
      <c r="G35" s="851"/>
      <c r="H35" s="851"/>
    </row>
    <row r="36" spans="1:8" x14ac:dyDescent="0.3">
      <c r="A36" s="852" t="s">
        <v>412</v>
      </c>
      <c r="B36" s="852"/>
      <c r="C36" s="852"/>
      <c r="D36" s="852"/>
      <c r="E36" s="852"/>
      <c r="F36" s="852"/>
      <c r="G36" s="852"/>
      <c r="H36" s="852"/>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3" t="s">
        <v>377</v>
      </c>
      <c r="B1" s="853"/>
      <c r="C1" s="853"/>
      <c r="D1" s="853"/>
      <c r="E1" s="853"/>
      <c r="F1" s="853"/>
      <c r="G1" s="853"/>
    </row>
    <row r="2" spans="1:13" x14ac:dyDescent="0.3">
      <c r="A2" s="853" t="s">
        <v>378</v>
      </c>
      <c r="B2" s="853"/>
      <c r="C2" s="853"/>
      <c r="D2" s="853"/>
      <c r="E2" s="853"/>
      <c r="F2" s="853"/>
      <c r="G2" s="853"/>
    </row>
    <row r="3" spans="1:13" x14ac:dyDescent="0.3">
      <c r="A3" s="853" t="s">
        <v>379</v>
      </c>
      <c r="B3" s="853"/>
      <c r="C3" s="853"/>
      <c r="D3" s="853"/>
      <c r="E3" s="853"/>
      <c r="F3" s="853"/>
      <c r="G3" s="853"/>
    </row>
    <row r="4" spans="1:13" x14ac:dyDescent="0.3">
      <c r="A4" s="853" t="s">
        <v>380</v>
      </c>
      <c r="B4" s="853"/>
      <c r="C4" s="853"/>
      <c r="D4" s="853"/>
      <c r="E4" s="853"/>
      <c r="F4" s="853"/>
      <c r="G4" s="853"/>
    </row>
    <row r="5" spans="1:13" x14ac:dyDescent="0.3">
      <c r="A5" s="854" t="s">
        <v>381</v>
      </c>
      <c r="B5" s="854"/>
      <c r="C5" s="854"/>
      <c r="D5" s="854"/>
      <c r="E5" s="125"/>
      <c r="F5" s="125"/>
      <c r="G5" s="125"/>
    </row>
    <row r="6" spans="1:13" x14ac:dyDescent="0.3">
      <c r="A6" s="126"/>
      <c r="B6" s="856">
        <v>2009</v>
      </c>
      <c r="C6" s="856"/>
      <c r="D6" s="856"/>
      <c r="E6" s="856">
        <v>2010</v>
      </c>
      <c r="F6" s="856"/>
      <c r="G6" s="856"/>
    </row>
    <row r="7" spans="1:13" x14ac:dyDescent="0.3">
      <c r="A7" s="126"/>
      <c r="B7" s="127"/>
      <c r="C7" s="127"/>
      <c r="D7" s="127"/>
      <c r="E7" s="127"/>
      <c r="F7" s="127"/>
      <c r="G7" s="127"/>
    </row>
    <row r="8" spans="1:13" x14ac:dyDescent="0.3">
      <c r="A8" s="126" t="s">
        <v>352</v>
      </c>
      <c r="B8" s="126" t="s">
        <v>382</v>
      </c>
      <c r="C8" s="858" t="s">
        <v>383</v>
      </c>
      <c r="D8" s="858" t="s">
        <v>329</v>
      </c>
      <c r="E8" s="126" t="s">
        <v>382</v>
      </c>
      <c r="F8" s="858" t="s">
        <v>383</v>
      </c>
      <c r="G8" s="858" t="s">
        <v>329</v>
      </c>
      <c r="K8" s="149"/>
      <c r="L8" s="126" t="s">
        <v>329</v>
      </c>
      <c r="M8" s="126" t="s">
        <v>329</v>
      </c>
    </row>
    <row r="9" spans="1:13" ht="20.399999999999999" x14ac:dyDescent="0.3">
      <c r="A9" s="128"/>
      <c r="B9" s="129" t="s">
        <v>385</v>
      </c>
      <c r="C9" s="859"/>
      <c r="D9" s="859"/>
      <c r="E9" s="129" t="s">
        <v>386</v>
      </c>
      <c r="F9" s="859"/>
      <c r="G9" s="859"/>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0" t="s">
        <v>403</v>
      </c>
      <c r="B30" s="850"/>
      <c r="C30" s="850"/>
      <c r="D30" s="850"/>
      <c r="E30" s="850"/>
      <c r="F30" s="850"/>
      <c r="G30" s="850"/>
    </row>
    <row r="31" spans="1:13" x14ac:dyDescent="0.3">
      <c r="A31" s="851"/>
      <c r="B31" s="851"/>
      <c r="C31" s="851"/>
      <c r="D31" s="851"/>
      <c r="E31" s="851"/>
      <c r="F31" s="851"/>
      <c r="G31" s="851"/>
    </row>
    <row r="32" spans="1:13" x14ac:dyDescent="0.3">
      <c r="A32" s="852" t="s">
        <v>404</v>
      </c>
      <c r="B32" s="852"/>
      <c r="C32" s="852"/>
      <c r="D32" s="852"/>
      <c r="E32" s="852"/>
      <c r="F32" s="852"/>
      <c r="G32" s="852"/>
    </row>
    <row r="33" spans="1:7" x14ac:dyDescent="0.3">
      <c r="A33" s="857" t="s">
        <v>405</v>
      </c>
      <c r="B33" s="857"/>
      <c r="C33" s="857"/>
      <c r="D33" s="857"/>
      <c r="E33" s="857"/>
      <c r="F33" s="857"/>
      <c r="G33" s="857"/>
    </row>
    <row r="34" spans="1:7" x14ac:dyDescent="0.3">
      <c r="A34" s="857" t="s">
        <v>406</v>
      </c>
      <c r="B34" s="857"/>
      <c r="C34" s="857"/>
      <c r="D34" s="857"/>
      <c r="E34" s="857"/>
      <c r="F34" s="857"/>
      <c r="G34" s="857"/>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1" t="s">
        <v>349</v>
      </c>
      <c r="H65" s="861"/>
      <c r="I65" s="861"/>
      <c r="J65" s="861"/>
      <c r="K65" s="861"/>
    </row>
    <row r="66" spans="7:11" x14ac:dyDescent="0.3">
      <c r="G66" s="861" t="s">
        <v>350</v>
      </c>
      <c r="H66" s="861"/>
      <c r="I66" s="861"/>
      <c r="J66" s="861"/>
      <c r="K66" s="861"/>
    </row>
    <row r="67" spans="7:11" x14ac:dyDescent="0.3">
      <c r="G67" s="861" t="s">
        <v>351</v>
      </c>
      <c r="H67" s="861"/>
      <c r="I67" s="861"/>
      <c r="J67" s="861"/>
      <c r="K67" s="861"/>
    </row>
    <row r="68" spans="7:11" x14ac:dyDescent="0.3">
      <c r="G68" s="862" t="s">
        <v>352</v>
      </c>
      <c r="H68" s="862"/>
      <c r="I68" s="862" t="s">
        <v>353</v>
      </c>
      <c r="J68" s="862"/>
      <c r="K68" s="862" t="s">
        <v>354</v>
      </c>
    </row>
    <row r="69" spans="7:11" x14ac:dyDescent="0.3">
      <c r="G69" s="862"/>
      <c r="H69" s="862"/>
      <c r="I69" s="114">
        <v>2008</v>
      </c>
      <c r="J69" s="114">
        <v>2009</v>
      </c>
      <c r="K69" s="862"/>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0" t="s">
        <v>365</v>
      </c>
      <c r="H82" s="860"/>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31 MARZO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31 MARZO 2023'!Área_de_impresión</vt:lpstr>
      <vt:lpstr>ResumenxSubP!Área_de_impresión</vt:lpstr>
      <vt:lpstr>'PPTO AL 31 MARZO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2023-04-03T14:53:04Z</cp:lastPrinted>
  <dcterms:created xsi:type="dcterms:W3CDTF">2010-04-30T16:28:29Z</dcterms:created>
  <dcterms:modified xsi:type="dcterms:W3CDTF">2023-04-03T14:53:10Z</dcterms:modified>
</cp:coreProperties>
</file>